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16" i="1" l="1"/>
  <c r="I184" i="1"/>
  <c r="I180" i="1"/>
  <c r="I162" i="1"/>
  <c r="I150" i="1"/>
  <c r="I141" i="1"/>
  <c r="I127" i="1"/>
  <c r="I97" i="1"/>
  <c r="I42" i="1"/>
  <c r="I214" i="1"/>
  <c r="F143" i="1"/>
  <c r="H143" i="1" s="1"/>
  <c r="H129" i="1"/>
  <c r="F129" i="1"/>
  <c r="F174" i="1"/>
  <c r="H174" i="1" s="1"/>
  <c r="F45" i="1"/>
  <c r="H204" i="1"/>
  <c r="F198" i="1"/>
  <c r="I129" i="1" l="1"/>
  <c r="I143" i="1"/>
  <c r="H198" i="1"/>
  <c r="H203" i="1"/>
  <c r="F199" i="1"/>
  <c r="H199" i="1" s="1"/>
  <c r="F59" i="1"/>
  <c r="H59" i="1" s="1"/>
  <c r="F58" i="1"/>
  <c r="H56" i="1"/>
  <c r="I56" i="1" s="1"/>
  <c r="H45" i="1"/>
  <c r="F179" i="1"/>
  <c r="H179" i="1" s="1"/>
  <c r="F176" i="1"/>
  <c r="H176" i="1" s="1"/>
  <c r="F173" i="1"/>
  <c r="H173" i="1" s="1"/>
  <c r="F152" i="1"/>
  <c r="F156" i="1"/>
  <c r="H156" i="1" s="1"/>
  <c r="F104" i="1"/>
  <c r="H104" i="1" s="1"/>
  <c r="H36" i="1"/>
  <c r="I36" i="1" s="1"/>
  <c r="F154" i="1"/>
  <c r="H154" i="1" s="1"/>
  <c r="F118" i="1"/>
  <c r="H118" i="1" s="1"/>
  <c r="F44" i="1"/>
  <c r="H44" i="1" s="1"/>
  <c r="F158" i="1"/>
  <c r="H158" i="1" s="1"/>
  <c r="F175" i="1"/>
  <c r="H175" i="1" s="1"/>
  <c r="F172" i="1"/>
  <c r="H172" i="1" s="1"/>
  <c r="H171" i="1"/>
  <c r="H115" i="1"/>
  <c r="F68" i="1"/>
  <c r="H68" i="1" s="1"/>
  <c r="H136" i="1"/>
  <c r="I136" i="1" s="1"/>
  <c r="H58" i="1" l="1"/>
  <c r="I58" i="1" s="1"/>
  <c r="I59" i="1"/>
  <c r="I118" i="1"/>
  <c r="I172" i="1"/>
  <c r="H112" i="1" l="1"/>
  <c r="I112" i="1" s="1"/>
  <c r="F111" i="1"/>
  <c r="H111" i="1" s="1"/>
  <c r="F110" i="1"/>
  <c r="H110" i="1" s="1"/>
  <c r="F126" i="1"/>
  <c r="H152" i="1"/>
  <c r="F47" i="1"/>
  <c r="H47" i="1" s="1"/>
  <c r="F139" i="1"/>
  <c r="H139" i="1" s="1"/>
  <c r="H126" i="1" l="1"/>
  <c r="I126" i="1" s="1"/>
  <c r="I110" i="1"/>
  <c r="I111" i="1"/>
  <c r="F148" i="1"/>
  <c r="H148" i="1" s="1"/>
  <c r="F67" i="1" l="1"/>
  <c r="H67" i="1" s="1"/>
  <c r="F66" i="1"/>
  <c r="F213" i="1"/>
  <c r="H213" i="1" s="1"/>
  <c r="F96" i="1"/>
  <c r="F95" i="1"/>
  <c r="F82" i="1"/>
  <c r="F92" i="1"/>
  <c r="H92" i="1" s="1"/>
  <c r="F81" i="1"/>
  <c r="H81" i="1" s="1"/>
  <c r="F55" i="1"/>
  <c r="H55" i="1" s="1"/>
  <c r="F80" i="1"/>
  <c r="F85" i="1"/>
  <c r="H85" i="1" s="1"/>
  <c r="F168" i="1"/>
  <c r="H79" i="1"/>
  <c r="I79" i="1" s="1"/>
  <c r="H78" i="1"/>
  <c r="I78" i="1" s="1"/>
  <c r="F74" i="1"/>
  <c r="F73" i="1"/>
  <c r="H73" i="1" s="1"/>
  <c r="F72" i="1"/>
  <c r="H72" i="1" s="1"/>
  <c r="F71" i="1"/>
  <c r="F90" i="1"/>
  <c r="H90" i="1" s="1"/>
  <c r="F89" i="1"/>
  <c r="F88" i="1"/>
  <c r="H88" i="1" s="1"/>
  <c r="F70" i="1"/>
  <c r="H70" i="1" s="1"/>
  <c r="F87" i="1"/>
  <c r="H87" i="1" s="1"/>
  <c r="F57" i="1"/>
  <c r="H57" i="1" s="1"/>
  <c r="F54" i="1"/>
  <c r="H54" i="1" s="1"/>
  <c r="F53" i="1"/>
  <c r="H53" i="1" s="1"/>
  <c r="F52" i="1"/>
  <c r="F51" i="1"/>
  <c r="F24" i="1"/>
  <c r="H24" i="1" s="1"/>
  <c r="F23" i="1"/>
  <c r="H23" i="1" s="1"/>
  <c r="F30" i="1"/>
  <c r="H30" i="1" s="1"/>
  <c r="F39" i="1"/>
  <c r="F61" i="1"/>
  <c r="H61" i="1" s="1"/>
  <c r="F167" i="1"/>
  <c r="H167" i="1" s="1"/>
  <c r="H51" i="1" l="1"/>
  <c r="I51" i="1" s="1"/>
  <c r="H39" i="1"/>
  <c r="I39" i="1" s="1"/>
  <c r="H52" i="1"/>
  <c r="I52" i="1" s="1"/>
  <c r="I54" i="1"/>
  <c r="H74" i="1"/>
  <c r="I74" i="1" s="1"/>
  <c r="I85" i="1"/>
  <c r="H95" i="1"/>
  <c r="I95" i="1" s="1"/>
  <c r="I67" i="1"/>
  <c r="I88" i="1"/>
  <c r="H89" i="1"/>
  <c r="I89" i="1" s="1"/>
  <c r="I90" i="1"/>
  <c r="H71" i="1"/>
  <c r="I71" i="1" s="1"/>
  <c r="I72" i="1"/>
  <c r="H168" i="1"/>
  <c r="I168" i="1" s="1"/>
  <c r="H80" i="1"/>
  <c r="I80" i="1" s="1"/>
  <c r="I81" i="1"/>
  <c r="H100" i="1"/>
  <c r="I100" i="1" s="1"/>
  <c r="I92" i="1"/>
  <c r="H82" i="1"/>
  <c r="I82" i="1" s="1"/>
  <c r="H96" i="1"/>
  <c r="I96" i="1" s="1"/>
  <c r="I213" i="1"/>
  <c r="H66" i="1"/>
  <c r="I66" i="1" s="1"/>
  <c r="I68" i="1"/>
  <c r="I167" i="1"/>
  <c r="I53" i="1"/>
  <c r="I87" i="1"/>
  <c r="I24" i="1"/>
  <c r="I73" i="1"/>
  <c r="F20" i="1"/>
  <c r="F91" i="1"/>
  <c r="F49" i="1"/>
  <c r="H49" i="1" s="1"/>
  <c r="F63" i="1"/>
  <c r="H63" i="1" s="1"/>
  <c r="F27" i="1"/>
  <c r="F48" i="1"/>
  <c r="H48" i="1" s="1"/>
  <c r="F46" i="1"/>
  <c r="H46" i="1" s="1"/>
  <c r="F50" i="1"/>
  <c r="H50" i="1" s="1"/>
  <c r="F65" i="1"/>
  <c r="I212" i="1"/>
  <c r="I211" i="1"/>
  <c r="H65" i="1" l="1"/>
  <c r="I65" i="1" s="1"/>
  <c r="H27" i="1"/>
  <c r="I27" i="1" s="1"/>
  <c r="I49" i="1"/>
  <c r="H91" i="1"/>
  <c r="I91" i="1" s="1"/>
  <c r="H20" i="1"/>
  <c r="I20" i="1" s="1"/>
  <c r="H210" i="1"/>
  <c r="F210" i="1"/>
  <c r="F134" i="1"/>
  <c r="F133" i="1"/>
  <c r="H133" i="1" s="1"/>
  <c r="F132" i="1"/>
  <c r="H132" i="1" s="1"/>
  <c r="F182" i="1"/>
  <c r="H182" i="1" s="1"/>
  <c r="I208" i="1"/>
  <c r="H207" i="1"/>
  <c r="I207" i="1" s="1"/>
  <c r="F119" i="1"/>
  <c r="H119" i="1" s="1"/>
  <c r="F178" i="1"/>
  <c r="H178" i="1" s="1"/>
  <c r="F101" i="1"/>
  <c r="H101" i="1" s="1"/>
  <c r="I210" i="1" l="1"/>
  <c r="I132" i="1"/>
  <c r="H134" i="1"/>
  <c r="I134" i="1" s="1"/>
  <c r="I133" i="1"/>
  <c r="F189" i="1"/>
  <c r="F77" i="1"/>
  <c r="H77" i="1" s="1"/>
  <c r="F76" i="1"/>
  <c r="H76" i="1" s="1"/>
  <c r="H62" i="1"/>
  <c r="I62" i="1" s="1"/>
  <c r="I61" i="1"/>
  <c r="I48" i="1"/>
  <c r="I47" i="1"/>
  <c r="F64" i="1"/>
  <c r="H64" i="1" s="1"/>
  <c r="F120" i="1"/>
  <c r="H120" i="1" s="1"/>
  <c r="F121" i="1"/>
  <c r="H121" i="1" l="1"/>
  <c r="I121" i="1" s="1"/>
  <c r="I77" i="1"/>
  <c r="H189" i="1"/>
  <c r="I189" i="1" s="1"/>
  <c r="I76" i="1"/>
  <c r="I63" i="1"/>
  <c r="I64" i="1"/>
  <c r="I174" i="1"/>
  <c r="H103" i="1"/>
  <c r="F102" i="1"/>
  <c r="H102" i="1" s="1"/>
  <c r="F200" i="1" l="1"/>
  <c r="H200" i="1" s="1"/>
  <c r="F202" i="1"/>
  <c r="H202" i="1" s="1"/>
  <c r="F153" i="1"/>
  <c r="H153" i="1" s="1"/>
  <c r="F106" i="1"/>
  <c r="H106" i="1" s="1"/>
  <c r="F105" i="1"/>
  <c r="H105" i="1" s="1"/>
  <c r="F107" i="1"/>
  <c r="H107" i="1" s="1"/>
  <c r="I70" i="1"/>
  <c r="F17" i="1"/>
  <c r="H17" i="1" s="1"/>
  <c r="F209" i="1"/>
  <c r="H209" i="1" s="1"/>
  <c r="F113" i="1"/>
  <c r="H113" i="1" s="1"/>
  <c r="I173" i="1"/>
  <c r="I198" i="1"/>
  <c r="F196" i="1"/>
  <c r="I196" i="1" s="1"/>
  <c r="H147" i="1"/>
  <c r="I147" i="1" s="1"/>
  <c r="I17" i="1" l="1"/>
  <c r="I200" i="1"/>
  <c r="I199" i="1"/>
  <c r="I50" i="1" l="1"/>
  <c r="I55" i="1"/>
  <c r="I204" i="1"/>
  <c r="I57" i="1"/>
  <c r="I153" i="1"/>
  <c r="I148" i="1" l="1"/>
  <c r="I139" i="1"/>
  <c r="I203" i="1"/>
  <c r="I46" i="1"/>
  <c r="I45" i="1"/>
  <c r="I158" i="1"/>
  <c r="I152" i="1"/>
  <c r="I175" i="1"/>
  <c r="I176" i="1"/>
  <c r="I15" i="1" l="1"/>
  <c r="I30" i="1"/>
  <c r="I23" i="1"/>
  <c r="I44" i="1"/>
  <c r="I202" i="1"/>
  <c r="I115" i="1"/>
  <c r="I120" i="1"/>
  <c r="I119" i="1"/>
  <c r="I156" i="1"/>
  <c r="I101" i="1"/>
  <c r="I171" i="1"/>
  <c r="I209" i="1" l="1"/>
  <c r="I154" i="1"/>
  <c r="I178" i="1"/>
  <c r="I113" i="1" l="1"/>
  <c r="I215" i="1" s="1"/>
  <c r="I182" i="1"/>
  <c r="I106" i="1"/>
  <c r="I105" i="1"/>
  <c r="I107" i="1" l="1"/>
  <c r="I104" i="1"/>
  <c r="I179" i="1" l="1"/>
  <c r="I103" i="1" l="1"/>
  <c r="I102" i="1"/>
  <c r="I186" i="1" l="1"/>
  <c r="I191" i="1" s="1"/>
  <c r="I183" i="1"/>
</calcChain>
</file>

<file path=xl/sharedStrings.xml><?xml version="1.0" encoding="utf-8"?>
<sst xmlns="http://schemas.openxmlformats.org/spreadsheetml/2006/main" count="764" uniqueCount="282">
  <si>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</si>
  <si>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</si>
  <si>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</si>
  <si>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</si>
  <si>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</si>
  <si>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</si>
  <si>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</si>
  <si>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</si>
  <si>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</si>
  <si>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</si>
  <si>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</si>
  <si>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</si>
  <si>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</si>
  <si>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</si>
  <si>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</si>
  <si>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</si>
  <si>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</si>
  <si>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</si>
  <si>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</si>
  <si>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</si>
  <si>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</si>
  <si>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</si>
  <si>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</si>
  <si>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</si>
  <si>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</si>
  <si>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</si>
  <si>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</si>
  <si>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</si>
  <si>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</si>
  <si>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</si>
  <si>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</si>
  <si>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</si>
  <si>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</si>
  <si>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</si>
  <si>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</si>
  <si>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</si>
  <si>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</si>
  <si>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</si>
  <si>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</si>
  <si>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</si>
  <si>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</si>
  <si>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</si>
  <si>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</si>
  <si>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</si>
  <si>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</si>
  <si>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</si>
  <si>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</si>
  <si>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</si>
  <si>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</si>
  <si>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</si>
  <si>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</si>
  <si>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</si>
  <si>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</si>
  <si>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</si>
  <si>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</si>
  <si>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</si>
  <si>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</si>
  <si>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</si>
  <si>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</si>
  <si>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</si>
  <si>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</si>
  <si>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</si>
  <si>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</si>
  <si>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</si>
  <si>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</si>
  <si>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</si>
  <si>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</si>
  <si>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</si>
  <si>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</si>
  <si>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</si>
  <si>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</si>
  <si>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</si>
  <si>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</si>
  <si>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</si>
  <si>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</si>
  <si>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</si>
  <si>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</si>
  <si>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</si>
  <si>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</si>
  <si>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</si>
  <si>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</si>
  <si>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</si>
  <si>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</si>
  <si>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</si>
  <si>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</si>
  <si>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</si>
  <si>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</si>
  <si>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</si>
  <si>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</si>
  <si>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</si>
  <si>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</si>
  <si>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</si>
  <si>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</si>
  <si>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</si>
  <si>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</si>
  <si>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</si>
  <si>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</si>
  <si>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</si>
  <si>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</si>
  <si>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</si>
  <si>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</si>
  <si>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</si>
  <si>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</si>
  <si>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</si>
  <si>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</si>
  <si>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</si>
  <si>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</si>
  <si>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</si>
  <si>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</si>
  <si>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</si>
  <si>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</si>
  <si>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</si>
  <si>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</si>
  <si>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</si>
  <si>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</si>
  <si>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</si>
  <si>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</si>
  <si>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</si>
  <si>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</si>
  <si>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</si>
  <si>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</si>
  <si>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</si>
  <si>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</si>
  <si>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</si>
  <si>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</si>
  <si>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</si>
  <si>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</si>
  <si>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</si>
  <si>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</si>
  <si>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</si>
  <si>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</si>
  <si>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</si>
  <si>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</si>
  <si>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</si>
  <si>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</si>
  <si>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</si>
  <si>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</si>
  <si>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</si>
  <si>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</si>
  <si>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</si>
  <si>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</si>
  <si>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</si>
  <si>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</si>
  <si>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</si>
  <si>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</si>
  <si>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</si>
  <si>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</si>
  <si>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</si>
  <si>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</si>
  <si>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</si>
  <si>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</si>
  <si>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</si>
  <si>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</si>
  <si>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</si>
  <si>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</si>
  <si>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</si>
  <si>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</si>
  <si>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</si>
  <si>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</si>
  <si>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</si>
  <si>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</si>
  <si>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</si>
  <si>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</si>
  <si>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</si>
  <si>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</si>
  <si>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</si>
  <si>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</si>
  <si>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соед.</t>
  </si>
  <si>
    <t>разборка трубопроводов из водогазопроводных труб диам. до 32мм</t>
  </si>
  <si>
    <t>прокладка внутренних трубпроводов водоснабжения и отопления из полипропиленовых труб:диам. 20мм</t>
  </si>
  <si>
    <t>смена ламп накаливания</t>
  </si>
  <si>
    <t>демонтаж элеваторов</t>
  </si>
  <si>
    <t>водоотлив из подвала электрическими нососами</t>
  </si>
  <si>
    <t>водоотлив из подвала ведрами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</si>
  <si>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</si>
  <si>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</si>
  <si>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</si>
  <si>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</si>
  <si>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</si>
  <si>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</si>
  <si>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</si>
  <si>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</si>
  <si>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установка фекальных насосов</t>
  </si>
  <si>
    <t>1м3 заделки</t>
  </si>
  <si>
    <t>ремонт и восстановление уплотнения стыков прокладками ПРП в 1 ряд насухо</t>
  </si>
  <si>
    <t>смена розеток</t>
  </si>
  <si>
    <t>установка элеваторов после прочистки</t>
  </si>
  <si>
    <t>ремонт задвижек диаметром до 100мм без снятия с места</t>
  </si>
  <si>
    <t>установка термометров</t>
  </si>
  <si>
    <t>смена трубопроводов из чугунных труб диам. 100мм</t>
  </si>
  <si>
    <t>м2 окрашиваемой поверхности</t>
  </si>
  <si>
    <t>окраска масляными составами ранее окрвшенных металлических решеток и оград без рельефа за 1 раз</t>
  </si>
  <si>
    <t>ремонт групповых щитков на лестничной клетке без ремонта  автоматов</t>
  </si>
  <si>
    <t>окраска масляными составами ранее окрвшенных металлических решеток и оград без рельефа за 2 раза</t>
  </si>
  <si>
    <t xml:space="preserve">огрунтовка ранее окрашенных фасадов под окраску </t>
  </si>
  <si>
    <t xml:space="preserve">шпатлевка ранее окрашенных фасадов под окраску </t>
  </si>
  <si>
    <t>окраска масляными составами ранее окрашенных поверхностей труб стальных за 2 раза</t>
  </si>
  <si>
    <t>корчевка пней вручную</t>
  </si>
  <si>
    <t>1 пень</t>
  </si>
  <si>
    <t>ремонт металлических ограждений средний</t>
  </si>
  <si>
    <t>смена трубопроводов из полиэтиленовых труб диам. 100мм</t>
  </si>
  <si>
    <t>смена трубопроводов из полиэтиленовых труб диам. 59мм</t>
  </si>
  <si>
    <t>наружный водос+ток</t>
  </si>
  <si>
    <t>окраска масляными составами ранее окрашенных больших металлических поверхностей (кроме крыш) за 2 раза</t>
  </si>
  <si>
    <t>установка с бетонирование скамейки</t>
  </si>
  <si>
    <t>4 квартал</t>
  </si>
  <si>
    <t>Всего</t>
  </si>
  <si>
    <t xml:space="preserve">
Отчет о выполнении работ по текущему ремонту общего имущества 
в многоквартирном доме по адресу: г.Щёлково, ул.8 Марта , дом 7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</si>
  <si>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</si>
  <si>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</si>
  <si>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водомеров диам до 65мм</t>
  </si>
  <si>
    <t>установка дверного доводчика</t>
  </si>
  <si>
    <t xml:space="preserve"> смена кранов на шаровые краны диам.15,20 мм</t>
  </si>
  <si>
    <t>установка коробов шириной до 63мм</t>
  </si>
  <si>
    <t>смена дверных приборов петли</t>
  </si>
  <si>
    <t>ремонт штукатуркивнутренних стен по камню и бетону раствором,площадью отдельных мест до 1м2 толщиной слоя до 20мм</t>
  </si>
  <si>
    <t>простая окраска масляными составами ранее окрашенных бордюров без подготовки с расчисткой старой краски до 10%</t>
  </si>
  <si>
    <t xml:space="preserve">установка аншлага </t>
  </si>
  <si>
    <t>смена рассеивателей</t>
  </si>
  <si>
    <t>смена задвижек диаметром 50мм на шаровые краны</t>
  </si>
  <si>
    <t>установка коробов шириной до 40мм</t>
  </si>
  <si>
    <t>ремонт окна подъезда №2, 9 этаж</t>
  </si>
  <si>
    <t>изготовление и установка входных дверей в подъезд №1</t>
  </si>
  <si>
    <t>смена оконных ручек</t>
  </si>
  <si>
    <t>смена дверных приборов ручки-скобы</t>
  </si>
  <si>
    <t>смена дверных приборов шпингалеты</t>
  </si>
  <si>
    <t>смена стекол толщиной 4-6мм в деревянных переплетах при площади стекла 0,25м2</t>
  </si>
  <si>
    <t>смена стекол толщиной 4-6мм в деревянных переплетах при площади стекла 0,5м2</t>
  </si>
  <si>
    <t>устройство металлических ограждений с поручнями из поливинилхлорида</t>
  </si>
  <si>
    <t>устройство металлических ограждений без поручней</t>
  </si>
  <si>
    <t>ремонт системы дымоудаления</t>
  </si>
  <si>
    <t>кг</t>
  </si>
  <si>
    <t xml:space="preserve"> смена кранов на шаровые краны диам.15,32мм</t>
  </si>
  <si>
    <t>обрезка ветвей деревьев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</si>
  <si>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</si>
  <si>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справка о техническом состоянии здания</t>
  </si>
  <si>
    <t>экпертно-консультационные услуги по проверке правильности составления сметной документации на ремонт подъездов многоквартирного жилого дома</t>
  </si>
  <si>
    <t xml:space="preserve">оказание услуг по осуществлению строительного контроля </t>
  </si>
  <si>
    <t>блокирующие замки для окон ПВХ накладной с тросиком</t>
  </si>
  <si>
    <t>установка решеток на приямки</t>
  </si>
  <si>
    <t>ремонт покрытий из линолеума при площади ремонта до 1м2</t>
  </si>
  <si>
    <t>заделка трещин в кирпичных стенах цементным раствором</t>
  </si>
  <si>
    <t>улучшенная масляная окраска ранее окрашенных фасадов</t>
  </si>
  <si>
    <t>смена дверных приборов замки накладные на групповые щитки</t>
  </si>
  <si>
    <t xml:space="preserve">устройство вертикального стыка </t>
  </si>
  <si>
    <t>снятие дверных полотен(тамбурные двери)</t>
  </si>
  <si>
    <t>демонтаж дверных коробок в каменных стенах</t>
  </si>
  <si>
    <t>кор.</t>
  </si>
  <si>
    <t>установка блоков в наружных и внутренних проемах</t>
  </si>
  <si>
    <t>улучшенная окраска масляными составами по дереву заполнений дверных проемов</t>
  </si>
  <si>
    <t>ремонт штукатурки потолков по камню и бетону</t>
  </si>
  <si>
    <t>ремонт штукатурки откосов внутри здания по камню и бетону</t>
  </si>
  <si>
    <t>очистка вручную поверхности от красок с земли и лесов</t>
  </si>
  <si>
    <t>окраска водно-дисперсионными акриловыми составами улучшенная по шткатурке потолков</t>
  </si>
  <si>
    <t>окрашивание акриловыми составами поверхностей потолков, ранее окрашенных водоэмульсионной краской, с рачисткой старой краси до 35%</t>
  </si>
  <si>
    <t>окраска водн-дисперсионными акриловыми составами улучшенная по штукатурке стен</t>
  </si>
  <si>
    <t>покрытие поверхностей грунтовкой глубокого проникновения за 1 раз стен</t>
  </si>
  <si>
    <t>окрашивание акриловыми составами поверхностей стен, ранее окрашенных водоэмульсионной краской, с рачисткой старой краси до 35%</t>
  </si>
  <si>
    <t>улучшенная масляная окраска ранее окрашенных стен за 2 раза с расчисткой старой краски до 10%(сапожок)</t>
  </si>
  <si>
    <t>ремонт металлических лестничных решеток</t>
  </si>
  <si>
    <t>укрепление стоек металлических решеток ограждений</t>
  </si>
  <si>
    <t>окраска масляными составами ранее окрашенных металлических поверхностей за 2 раза</t>
  </si>
  <si>
    <t>окраска металлических деталей мусоропровода в 10-ти этажных зданиях</t>
  </si>
  <si>
    <t>окраска масляными составами ранее окрашенных металлических решеток и оград без рельефа</t>
  </si>
  <si>
    <t>улучшенная масляная окраска ранее окрашенных дверей за 2 раза с расчисткой старой краски до 10%</t>
  </si>
  <si>
    <t>окраска масляными соствами торцов лестничных маршей</t>
  </si>
  <si>
    <t>окраска масляная составами ранее окрашенных поверхностей труб стальных за 2 раза</t>
  </si>
  <si>
    <t>окраска металлических огрунтованных поверхностей эмалью ПФ-115</t>
  </si>
  <si>
    <t>демонтаж почтовых ящиков</t>
  </si>
  <si>
    <t>установка почтовых ящиков</t>
  </si>
  <si>
    <t>погрузка при автомобиных перевозках мусора строительного с погрузкой вручную, с вывозом мусора контейнером</t>
  </si>
  <si>
    <t>улучшенная окраска масляными составами по штукатурке стен</t>
  </si>
  <si>
    <t>улучшенная масляная окраска ранее окрашенных стен за один раз с расчисткой старой краски до 10% откосы</t>
  </si>
  <si>
    <t xml:space="preserve"> смена вентилей на шаровые краны диам.15мм</t>
  </si>
  <si>
    <t>ремонт и окраска дверей (восстановление фурнитуры и остекления) петли</t>
  </si>
  <si>
    <t>регулировка дверного доводчика</t>
  </si>
  <si>
    <t>установка рейки-добора</t>
  </si>
  <si>
    <t>ремонт дверных полотен со сменой брусков обвязки вертикальных</t>
  </si>
  <si>
    <t>коврик влаговпитывающий</t>
  </si>
  <si>
    <t>установка контейнеров</t>
  </si>
  <si>
    <t>окраска масляными составами ранее окрашенных больших металлических поверхностей за 2 раза(люк машинного помещения)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</si>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</sst>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0" xfId="0" applyNumberFormat="1" applyFont="1"/>
    <xf numFmtId="164" fontId="3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topLeftCell="D214" zoomScale="93" zoomScaleNormal="93" workbookViewId="0">
      <selection activeCell="I218" sqref="I218:I22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1" width="11.42578125" style="1" customWidth="1"/>
    <col min="12" max="16384" width="8.85546875" style="1"/>
  </cols>
  <sheetData>
    <row r="1" spans="1:12" ht="51.75" customHeight="1" x14ac:dyDescent="0.25">
      <c r="I1" s="68" t="s">
        <v>96</v>
      </c>
      <c r="J1" s="68"/>
    </row>
    <row r="2" spans="1:12" ht="70.5" customHeight="1" x14ac:dyDescent="0.25">
      <c r="A2" s="63" t="s">
        <v>207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</row>
    <row r="3" spans="1:12" ht="75" x14ac:dyDescent="0.25">
      <c r="A3" s="20" t="s">
        <v>81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80</v>
      </c>
      <c r="H3" s="21" t="s">
        <v>79</v>
      </c>
      <c r="I3" s="21" t="s">
        <v>101</v>
      </c>
      <c r="J3" s="21" t="s">
        <v>103</v>
      </c>
      <c r="K3" s="2"/>
      <c r="L3" s="2"/>
    </row>
    <row r="4" spans="1:12" ht="18.75" x14ac:dyDescent="0.3">
      <c r="A4" s="69" t="s">
        <v>87</v>
      </c>
      <c r="B4" s="70"/>
      <c r="C4" s="70"/>
      <c r="D4" s="70"/>
      <c r="E4" s="70"/>
      <c r="F4" s="70"/>
      <c r="G4" s="71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181</v>
      </c>
      <c r="E5" s="41"/>
      <c r="F5" s="41"/>
      <c r="G5" s="13" t="s">
        <v>113</v>
      </c>
      <c r="H5" s="41"/>
      <c r="I5" s="41"/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1"/>
      <c r="F6" s="41"/>
      <c r="G6" s="13" t="s">
        <v>113</v>
      </c>
      <c r="H6" s="41"/>
      <c r="I6" s="41"/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150</v>
      </c>
      <c r="E7" s="41" t="s">
        <v>139</v>
      </c>
      <c r="F7" s="41" t="s">
        <v>139</v>
      </c>
      <c r="G7" s="13" t="s">
        <v>29</v>
      </c>
      <c r="H7" s="41" t="s">
        <v>139</v>
      </c>
      <c r="I7" s="41" t="s">
        <v>139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139</v>
      </c>
      <c r="F8" s="41" t="s">
        <v>139</v>
      </c>
      <c r="G8" s="13" t="s">
        <v>29</v>
      </c>
      <c r="H8" s="41" t="s">
        <v>139</v>
      </c>
      <c r="I8" s="41" t="s">
        <v>139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139</v>
      </c>
      <c r="F9" s="41" t="s">
        <v>139</v>
      </c>
      <c r="G9" s="13" t="s">
        <v>113</v>
      </c>
      <c r="H9" s="41" t="s">
        <v>139</v>
      </c>
      <c r="I9" s="41" t="s">
        <v>139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139</v>
      </c>
      <c r="F10" s="41" t="s">
        <v>139</v>
      </c>
      <c r="G10" s="13" t="s">
        <v>29</v>
      </c>
      <c r="H10" s="41" t="s">
        <v>139</v>
      </c>
      <c r="I10" s="41" t="s">
        <v>139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86</v>
      </c>
      <c r="E11" s="41" t="s">
        <v>139</v>
      </c>
      <c r="F11" s="41" t="s">
        <v>139</v>
      </c>
      <c r="G11" s="13" t="s">
        <v>30</v>
      </c>
      <c r="H11" s="41" t="s">
        <v>139</v>
      </c>
      <c r="I11" s="41" t="s">
        <v>139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139</v>
      </c>
      <c r="F12" s="41" t="s">
        <v>139</v>
      </c>
      <c r="G12" s="14" t="s">
        <v>30</v>
      </c>
      <c r="H12" s="41" t="s">
        <v>139</v>
      </c>
      <c r="I12" s="41" t="s">
        <v>139</v>
      </c>
      <c r="J12" s="13"/>
      <c r="K12" s="2"/>
      <c r="L12" s="2"/>
    </row>
    <row r="13" spans="1:12" ht="32.25" x14ac:dyDescent="0.3">
      <c r="A13" s="6" t="s">
        <v>62</v>
      </c>
      <c r="B13" s="5"/>
      <c r="C13" s="4"/>
      <c r="D13" s="15" t="s">
        <v>51</v>
      </c>
      <c r="E13" s="41" t="s">
        <v>139</v>
      </c>
      <c r="F13" s="41" t="s">
        <v>139</v>
      </c>
      <c r="G13" s="13" t="s">
        <v>29</v>
      </c>
      <c r="H13" s="41" t="s">
        <v>139</v>
      </c>
      <c r="I13" s="41" t="s">
        <v>139</v>
      </c>
      <c r="J13" s="13"/>
      <c r="L13" s="2"/>
    </row>
    <row r="14" spans="1:12" ht="27" customHeight="1" x14ac:dyDescent="0.3">
      <c r="A14" s="6" t="s">
        <v>202</v>
      </c>
      <c r="B14" s="5"/>
      <c r="C14" s="4"/>
      <c r="D14" s="15" t="s">
        <v>33</v>
      </c>
      <c r="E14" s="41" t="s">
        <v>139</v>
      </c>
      <c r="F14" s="41" t="s">
        <v>139</v>
      </c>
      <c r="G14" s="13" t="s">
        <v>29</v>
      </c>
      <c r="H14" s="41" t="s">
        <v>139</v>
      </c>
      <c r="I14" s="41" t="s">
        <v>139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1"/>
      <c r="I15" s="41">
        <f>SUM(I5:I14)</f>
        <v>0</v>
      </c>
      <c r="J15" s="13"/>
      <c r="K15" s="2"/>
      <c r="L15" s="2"/>
    </row>
    <row r="16" spans="1:12" ht="18.75" x14ac:dyDescent="0.3">
      <c r="A16" s="69" t="s">
        <v>55</v>
      </c>
      <c r="B16" s="70"/>
      <c r="C16" s="70"/>
      <c r="D16" s="70"/>
      <c r="E16" s="70"/>
      <c r="F16" s="70"/>
      <c r="G16" s="71"/>
      <c r="H16" s="14"/>
      <c r="I16" s="5"/>
      <c r="J16" s="13"/>
      <c r="L16" s="2"/>
    </row>
    <row r="17" spans="1:12" ht="18.75" x14ac:dyDescent="0.3">
      <c r="A17" s="6" t="s">
        <v>18</v>
      </c>
      <c r="B17" s="5"/>
      <c r="C17" s="4"/>
      <c r="D17" s="4" t="s">
        <v>95</v>
      </c>
      <c r="E17" s="41" t="s">
        <v>139</v>
      </c>
      <c r="F17" s="41">
        <f>2</f>
        <v>2</v>
      </c>
      <c r="G17" s="14" t="s">
        <v>53</v>
      </c>
      <c r="H17" s="41">
        <f>15594.8/F17</f>
        <v>7797.4</v>
      </c>
      <c r="I17" s="54">
        <f>F17*H17</f>
        <v>15594.8</v>
      </c>
      <c r="J17" s="13" t="s">
        <v>145</v>
      </c>
      <c r="L17" s="2"/>
    </row>
    <row r="18" spans="1:12" ht="18.75" x14ac:dyDescent="0.3">
      <c r="A18" s="6" t="s">
        <v>12</v>
      </c>
      <c r="B18" s="5"/>
      <c r="C18" s="4"/>
      <c r="D18" s="4" t="s">
        <v>40</v>
      </c>
      <c r="E18" s="41" t="s">
        <v>139</v>
      </c>
      <c r="F18" s="41" t="s">
        <v>139</v>
      </c>
      <c r="G18" s="14" t="s">
        <v>52</v>
      </c>
      <c r="H18" s="41" t="s">
        <v>139</v>
      </c>
      <c r="I18" s="41" t="s">
        <v>139</v>
      </c>
      <c r="J18" s="13"/>
      <c r="L18" s="2"/>
    </row>
    <row r="19" spans="1:12" ht="18.75" x14ac:dyDescent="0.3">
      <c r="A19" s="6" t="s">
        <v>8</v>
      </c>
      <c r="B19" s="5"/>
      <c r="C19" s="4"/>
      <c r="D19" s="4" t="s">
        <v>34</v>
      </c>
      <c r="E19" s="41"/>
      <c r="F19" s="41"/>
      <c r="G19" s="14" t="s">
        <v>113</v>
      </c>
      <c r="H19" s="41"/>
      <c r="I19" s="41"/>
      <c r="J19" s="13"/>
      <c r="K19" s="2"/>
      <c r="L19" s="2"/>
    </row>
    <row r="20" spans="1:12" ht="32.25" x14ac:dyDescent="0.3">
      <c r="A20" s="6"/>
      <c r="B20" s="5"/>
      <c r="C20" s="4"/>
      <c r="D20" s="15" t="s">
        <v>241</v>
      </c>
      <c r="E20" s="41"/>
      <c r="F20" s="41">
        <f>1.5</f>
        <v>1.5</v>
      </c>
      <c r="G20" s="14" t="s">
        <v>143</v>
      </c>
      <c r="H20" s="45">
        <f>416.6/F20</f>
        <v>277.73333333333335</v>
      </c>
      <c r="I20" s="54">
        <f t="shared" ref="I20:I24" si="0">F20*H20</f>
        <v>416.6</v>
      </c>
      <c r="J20" s="13" t="s">
        <v>118</v>
      </c>
      <c r="K20" s="2"/>
      <c r="L20" s="2"/>
    </row>
    <row r="21" spans="1:12" ht="32.25" x14ac:dyDescent="0.3">
      <c r="A21" s="6"/>
      <c r="B21" s="5"/>
      <c r="C21" s="4"/>
      <c r="D21" s="15" t="s">
        <v>194</v>
      </c>
      <c r="E21" s="41"/>
      <c r="F21" s="41"/>
      <c r="G21" s="14" t="s">
        <v>113</v>
      </c>
      <c r="H21" s="41"/>
      <c r="I21" s="41"/>
      <c r="J21" s="13"/>
      <c r="K21" s="2"/>
      <c r="L21" s="2"/>
    </row>
    <row r="22" spans="1:12" ht="32.25" x14ac:dyDescent="0.3">
      <c r="A22" s="6"/>
      <c r="B22" s="5"/>
      <c r="C22" s="4"/>
      <c r="D22" s="15" t="s">
        <v>195</v>
      </c>
      <c r="E22" s="41"/>
      <c r="F22" s="41"/>
      <c r="G22" s="14" t="s">
        <v>113</v>
      </c>
      <c r="H22" s="41"/>
      <c r="I22" s="41"/>
      <c r="J22" s="13"/>
      <c r="K22" s="2"/>
      <c r="L22" s="2"/>
    </row>
    <row r="23" spans="1:12" ht="32.25" x14ac:dyDescent="0.3">
      <c r="A23" s="6"/>
      <c r="B23" s="5"/>
      <c r="C23" s="4"/>
      <c r="D23" s="15" t="s">
        <v>162</v>
      </c>
      <c r="E23" s="41"/>
      <c r="F23" s="41">
        <f>2+1.03</f>
        <v>3.0300000000000002</v>
      </c>
      <c r="G23" s="14" t="s">
        <v>89</v>
      </c>
      <c r="H23" s="45">
        <f>(3913+2301.6)/F23</f>
        <v>2051.023102310231</v>
      </c>
      <c r="I23" s="54">
        <f t="shared" si="0"/>
        <v>6214.6</v>
      </c>
      <c r="J23" s="13" t="s">
        <v>118</v>
      </c>
      <c r="K23" s="2"/>
      <c r="L23" s="2"/>
    </row>
    <row r="24" spans="1:12" ht="32.25" x14ac:dyDescent="0.3">
      <c r="A24" s="6"/>
      <c r="B24" s="5"/>
      <c r="C24" s="4"/>
      <c r="D24" s="15" t="s">
        <v>242</v>
      </c>
      <c r="E24" s="41"/>
      <c r="F24" s="41">
        <f>26+4.135</f>
        <v>30.134999999999998</v>
      </c>
      <c r="G24" s="14" t="s">
        <v>113</v>
      </c>
      <c r="H24" s="45">
        <f>(8749.8+1578.2)/F24</f>
        <v>342.72440683590514</v>
      </c>
      <c r="I24" s="54">
        <f t="shared" si="0"/>
        <v>10328</v>
      </c>
      <c r="J24" s="13" t="s">
        <v>118</v>
      </c>
      <c r="K24" s="2"/>
      <c r="L24" s="2"/>
    </row>
    <row r="25" spans="1:12" ht="18.75" x14ac:dyDescent="0.3">
      <c r="A25" s="6" t="s">
        <v>9</v>
      </c>
      <c r="B25" s="5"/>
      <c r="C25" s="4"/>
      <c r="D25" s="4" t="s">
        <v>32</v>
      </c>
      <c r="E25" s="41" t="s">
        <v>139</v>
      </c>
      <c r="F25" s="41" t="s">
        <v>139</v>
      </c>
      <c r="G25" s="14" t="s">
        <v>52</v>
      </c>
      <c r="H25" s="41" t="s">
        <v>139</v>
      </c>
      <c r="I25" s="41" t="s">
        <v>139</v>
      </c>
      <c r="J25" s="13"/>
      <c r="K25" s="2"/>
      <c r="L25" s="2"/>
    </row>
    <row r="26" spans="1:12" ht="18.75" x14ac:dyDescent="0.3">
      <c r="A26" s="6" t="s">
        <v>10</v>
      </c>
      <c r="B26" s="5"/>
      <c r="C26" s="4"/>
      <c r="D26" s="4" t="s">
        <v>39</v>
      </c>
      <c r="E26" s="41" t="s">
        <v>139</v>
      </c>
      <c r="F26" s="41" t="s">
        <v>139</v>
      </c>
      <c r="G26" s="14" t="s">
        <v>52</v>
      </c>
      <c r="H26" s="41" t="s">
        <v>139</v>
      </c>
      <c r="I26" s="41" t="s">
        <v>139</v>
      </c>
      <c r="J26" s="13"/>
      <c r="K26" s="2"/>
      <c r="L26" s="2"/>
    </row>
    <row r="27" spans="1:12" ht="18.75" x14ac:dyDescent="0.3">
      <c r="A27" s="6"/>
      <c r="B27" s="5"/>
      <c r="C27" s="4"/>
      <c r="D27" s="4" t="s">
        <v>239</v>
      </c>
      <c r="E27" s="41" t="s">
        <v>139</v>
      </c>
      <c r="F27" s="41">
        <f>25</f>
        <v>25</v>
      </c>
      <c r="G27" s="14" t="s">
        <v>231</v>
      </c>
      <c r="H27" s="45">
        <f>4689.8/F27</f>
        <v>187.59200000000001</v>
      </c>
      <c r="I27" s="54">
        <f>F27*H27</f>
        <v>4689.8</v>
      </c>
      <c r="J27" s="13" t="s">
        <v>118</v>
      </c>
      <c r="K27" s="2"/>
      <c r="L27" s="2"/>
    </row>
    <row r="28" spans="1:12" ht="18.75" x14ac:dyDescent="0.3">
      <c r="A28" s="6" t="s">
        <v>7</v>
      </c>
      <c r="B28" s="5"/>
      <c r="C28" s="4"/>
      <c r="D28" s="4" t="s">
        <v>31</v>
      </c>
      <c r="E28" s="41" t="s">
        <v>139</v>
      </c>
      <c r="F28" s="41" t="s">
        <v>139</v>
      </c>
      <c r="G28" s="13" t="s">
        <v>29</v>
      </c>
      <c r="H28" s="41" t="s">
        <v>139</v>
      </c>
      <c r="I28" s="41" t="s">
        <v>139</v>
      </c>
      <c r="J28" s="13"/>
      <c r="K28" s="2"/>
      <c r="L28" s="2"/>
    </row>
    <row r="29" spans="1:12" ht="60" customHeight="1" x14ac:dyDescent="0.3">
      <c r="A29" s="6" t="s">
        <v>11</v>
      </c>
      <c r="B29" s="5"/>
      <c r="C29" s="4"/>
      <c r="D29" s="15" t="s">
        <v>203</v>
      </c>
      <c r="E29" s="41"/>
      <c r="F29" s="41"/>
      <c r="G29" s="13" t="s">
        <v>113</v>
      </c>
      <c r="H29" s="41"/>
      <c r="I29" s="41"/>
      <c r="J29" s="13"/>
      <c r="K29" s="2"/>
      <c r="L29" s="2"/>
    </row>
    <row r="30" spans="1:12" ht="49.5" customHeight="1" x14ac:dyDescent="0.3">
      <c r="A30" s="6"/>
      <c r="B30" s="5"/>
      <c r="C30" s="4"/>
      <c r="D30" s="15" t="s">
        <v>196</v>
      </c>
      <c r="E30" s="41"/>
      <c r="F30" s="41">
        <f>12.27</f>
        <v>12.27</v>
      </c>
      <c r="G30" s="13" t="s">
        <v>113</v>
      </c>
      <c r="H30" s="45">
        <f>10055/F30</f>
        <v>819.47840260798694</v>
      </c>
      <c r="I30" s="54">
        <f>F30*H30</f>
        <v>10055</v>
      </c>
      <c r="J30" s="13" t="s">
        <v>121</v>
      </c>
      <c r="K30" s="2"/>
      <c r="L30" s="2"/>
    </row>
    <row r="31" spans="1:12" ht="49.5" customHeight="1" x14ac:dyDescent="0.3">
      <c r="A31" s="6"/>
      <c r="B31" s="5"/>
      <c r="C31" s="4"/>
      <c r="D31" s="40" t="s">
        <v>191</v>
      </c>
      <c r="E31" s="13"/>
      <c r="F31" s="13"/>
      <c r="G31" s="38" t="s">
        <v>190</v>
      </c>
      <c r="H31" s="13"/>
      <c r="I31" s="33"/>
      <c r="J31" s="13"/>
      <c r="K31" s="2"/>
      <c r="L31" s="2"/>
    </row>
    <row r="32" spans="1:12" ht="69" customHeight="1" x14ac:dyDescent="0.3">
      <c r="A32" s="6"/>
      <c r="B32" s="5"/>
      <c r="C32" s="4"/>
      <c r="D32" s="40" t="s">
        <v>193</v>
      </c>
      <c r="E32" s="13"/>
      <c r="F32" s="13"/>
      <c r="G32" s="38" t="s">
        <v>190</v>
      </c>
      <c r="H32" s="13"/>
      <c r="I32" s="33"/>
      <c r="J32" s="13"/>
      <c r="K32" s="2"/>
      <c r="L32" s="2"/>
    </row>
    <row r="33" spans="1:12" ht="18.75" x14ac:dyDescent="0.3">
      <c r="A33" s="6" t="s">
        <v>54</v>
      </c>
      <c r="B33" s="5"/>
      <c r="C33" s="4"/>
      <c r="D33" s="15" t="s">
        <v>179</v>
      </c>
      <c r="E33" s="41" t="s">
        <v>139</v>
      </c>
      <c r="F33" s="41" t="s">
        <v>139</v>
      </c>
      <c r="G33" s="14" t="s">
        <v>29</v>
      </c>
      <c r="H33" s="41" t="s">
        <v>139</v>
      </c>
      <c r="I33" s="41" t="s">
        <v>139</v>
      </c>
      <c r="J33" s="13"/>
      <c r="L33" s="2"/>
    </row>
    <row r="34" spans="1:12" ht="32.25" x14ac:dyDescent="0.3">
      <c r="A34" s="6"/>
      <c r="B34" s="5"/>
      <c r="C34" s="4"/>
      <c r="D34" s="15" t="s">
        <v>180</v>
      </c>
      <c r="E34" s="41" t="s">
        <v>139</v>
      </c>
      <c r="F34" s="41" t="s">
        <v>139</v>
      </c>
      <c r="G34" s="14" t="s">
        <v>29</v>
      </c>
      <c r="H34" s="41" t="s">
        <v>139</v>
      </c>
      <c r="I34" s="41" t="s">
        <v>139</v>
      </c>
      <c r="J34" s="13"/>
      <c r="L34" s="2"/>
    </row>
    <row r="35" spans="1:12" ht="32.25" x14ac:dyDescent="0.3">
      <c r="A35" s="6" t="s">
        <v>56</v>
      </c>
      <c r="B35" s="5"/>
      <c r="C35" s="4"/>
      <c r="D35" s="15" t="s">
        <v>94</v>
      </c>
      <c r="E35" s="41" t="s">
        <v>139</v>
      </c>
      <c r="F35" s="41" t="s">
        <v>139</v>
      </c>
      <c r="G35" s="14" t="s">
        <v>52</v>
      </c>
      <c r="H35" s="41" t="s">
        <v>139</v>
      </c>
      <c r="I35" s="41" t="s">
        <v>139</v>
      </c>
      <c r="J35" s="13"/>
      <c r="L35" s="2"/>
    </row>
    <row r="36" spans="1:12" ht="32.25" x14ac:dyDescent="0.3">
      <c r="A36" s="6" t="s">
        <v>13</v>
      </c>
      <c r="B36" s="5"/>
      <c r="C36" s="4"/>
      <c r="D36" s="15" t="s">
        <v>93</v>
      </c>
      <c r="E36" s="41" t="s">
        <v>139</v>
      </c>
      <c r="F36" s="41">
        <v>1</v>
      </c>
      <c r="G36" s="14" t="s">
        <v>142</v>
      </c>
      <c r="H36" s="41">
        <f>20000/F36</f>
        <v>20000</v>
      </c>
      <c r="I36" s="54">
        <f>F36*H36</f>
        <v>20000</v>
      </c>
      <c r="J36" s="13" t="s">
        <v>205</v>
      </c>
      <c r="L36" s="2"/>
    </row>
    <row r="37" spans="1:12" ht="18.75" x14ac:dyDescent="0.3">
      <c r="A37" s="6" t="s">
        <v>14</v>
      </c>
      <c r="B37" s="5"/>
      <c r="C37" s="4"/>
      <c r="D37" s="4" t="s">
        <v>41</v>
      </c>
      <c r="E37" s="41" t="s">
        <v>139</v>
      </c>
      <c r="F37" s="41" t="s">
        <v>139</v>
      </c>
      <c r="G37" s="14" t="s">
        <v>53</v>
      </c>
      <c r="H37" s="41" t="s">
        <v>139</v>
      </c>
      <c r="I37" s="41" t="s">
        <v>139</v>
      </c>
      <c r="J37" s="13"/>
      <c r="L37" s="2"/>
    </row>
    <row r="38" spans="1:12" ht="18.75" x14ac:dyDescent="0.3">
      <c r="A38" s="6" t="s">
        <v>15</v>
      </c>
      <c r="B38" s="5"/>
      <c r="C38" s="4"/>
      <c r="D38" s="4" t="s">
        <v>42</v>
      </c>
      <c r="E38" s="41" t="s">
        <v>139</v>
      </c>
      <c r="F38" s="41" t="s">
        <v>139</v>
      </c>
      <c r="G38" s="14" t="s">
        <v>52</v>
      </c>
      <c r="H38" s="41" t="s">
        <v>139</v>
      </c>
      <c r="I38" s="41" t="s">
        <v>139</v>
      </c>
      <c r="J38" s="13"/>
      <c r="L38" s="2"/>
    </row>
    <row r="39" spans="1:12" ht="18.75" x14ac:dyDescent="0.3">
      <c r="A39" s="6"/>
      <c r="B39" s="5"/>
      <c r="C39" s="4"/>
      <c r="D39" s="4" t="s">
        <v>244</v>
      </c>
      <c r="E39" s="41"/>
      <c r="F39" s="41">
        <f>18</f>
        <v>18</v>
      </c>
      <c r="G39" s="14" t="s">
        <v>143</v>
      </c>
      <c r="H39" s="45">
        <f>3537.4/F39</f>
        <v>196.52222222222224</v>
      </c>
      <c r="I39" s="54">
        <f>F39*H39</f>
        <v>3537.4000000000005</v>
      </c>
      <c r="J39" s="13" t="s">
        <v>118</v>
      </c>
      <c r="L39" s="2"/>
    </row>
    <row r="40" spans="1:12" ht="18.75" x14ac:dyDescent="0.3">
      <c r="A40" s="6" t="s">
        <v>16</v>
      </c>
      <c r="B40" s="5"/>
      <c r="C40" s="4"/>
      <c r="D40" s="4" t="s">
        <v>43</v>
      </c>
      <c r="E40" s="41" t="s">
        <v>139</v>
      </c>
      <c r="F40" s="41" t="s">
        <v>139</v>
      </c>
      <c r="G40" s="13" t="s">
        <v>29</v>
      </c>
      <c r="H40" s="41" t="s">
        <v>139</v>
      </c>
      <c r="I40" s="41" t="s">
        <v>139</v>
      </c>
      <c r="J40" s="13"/>
      <c r="L40" s="2"/>
    </row>
    <row r="41" spans="1:12" ht="18.75" x14ac:dyDescent="0.3">
      <c r="A41" s="6" t="s">
        <v>17</v>
      </c>
      <c r="B41" s="5"/>
      <c r="C41" s="4"/>
      <c r="D41" s="4" t="s">
        <v>44</v>
      </c>
      <c r="E41" s="41" t="s">
        <v>139</v>
      </c>
      <c r="F41" s="41" t="s">
        <v>139</v>
      </c>
      <c r="G41" s="14" t="s">
        <v>53</v>
      </c>
      <c r="H41" s="41" t="s">
        <v>139</v>
      </c>
      <c r="I41" s="41" t="s">
        <v>139</v>
      </c>
      <c r="J41" s="13"/>
      <c r="L41" s="2"/>
    </row>
    <row r="42" spans="1:12" ht="18.75" x14ac:dyDescent="0.3">
      <c r="A42" s="28"/>
      <c r="B42" s="22"/>
      <c r="C42" s="22"/>
      <c r="D42" s="22"/>
      <c r="E42" s="46"/>
      <c r="F42" s="46"/>
      <c r="G42" s="12"/>
      <c r="H42" s="41"/>
      <c r="I42" s="41">
        <f>SUM(I17:I41)</f>
        <v>70836.2</v>
      </c>
      <c r="J42" s="13"/>
      <c r="L42" s="2"/>
    </row>
    <row r="43" spans="1:12" ht="24" customHeight="1" x14ac:dyDescent="0.3">
      <c r="A43" s="69" t="s">
        <v>85</v>
      </c>
      <c r="B43" s="70"/>
      <c r="C43" s="70"/>
      <c r="D43" s="70"/>
      <c r="E43" s="70"/>
      <c r="F43" s="70"/>
      <c r="G43" s="71"/>
      <c r="H43" s="14"/>
      <c r="I43" s="5"/>
      <c r="J43" s="13"/>
      <c r="L43" s="2"/>
    </row>
    <row r="44" spans="1:12" ht="32.25" customHeight="1" x14ac:dyDescent="0.3">
      <c r="A44" s="6" t="s">
        <v>48</v>
      </c>
      <c r="B44" s="5"/>
      <c r="C44" s="4"/>
      <c r="D44" s="15" t="s">
        <v>274</v>
      </c>
      <c r="E44" s="32"/>
      <c r="F44" s="13">
        <f>2</f>
        <v>2</v>
      </c>
      <c r="G44" s="38" t="s">
        <v>30</v>
      </c>
      <c r="H44" s="13">
        <f>2026.6/F44</f>
        <v>1013.3</v>
      </c>
      <c r="I44" s="13">
        <f t="shared" ref="I44:I49" si="1">F44*H44</f>
        <v>2026.6</v>
      </c>
      <c r="J44" s="13" t="s">
        <v>118</v>
      </c>
      <c r="L44" s="2"/>
    </row>
    <row r="45" spans="1:12" ht="32.25" customHeight="1" x14ac:dyDescent="0.3">
      <c r="A45" s="6"/>
      <c r="B45" s="5"/>
      <c r="C45" s="4"/>
      <c r="D45" s="15" t="s">
        <v>211</v>
      </c>
      <c r="E45" s="41"/>
      <c r="F45" s="41">
        <f>1+1+9+1</f>
        <v>12</v>
      </c>
      <c r="G45" s="13" t="s">
        <v>30</v>
      </c>
      <c r="H45" s="45">
        <f>(4933+4933.2+31944.4+5047.6)/F45</f>
        <v>3904.8500000000004</v>
      </c>
      <c r="I45" s="54">
        <f t="shared" si="1"/>
        <v>46858.200000000004</v>
      </c>
      <c r="J45" s="13" t="s">
        <v>121</v>
      </c>
      <c r="L45" s="2"/>
    </row>
    <row r="46" spans="1:12" ht="32.25" customHeight="1" x14ac:dyDescent="0.3">
      <c r="A46" s="6"/>
      <c r="B46" s="5"/>
      <c r="C46" s="4"/>
      <c r="D46" s="15" t="s">
        <v>214</v>
      </c>
      <c r="E46" s="41"/>
      <c r="F46" s="41">
        <f>2+13</f>
        <v>15</v>
      </c>
      <c r="G46" s="13" t="s">
        <v>30</v>
      </c>
      <c r="H46" s="45">
        <f>(1876.6+12806.2)/F46</f>
        <v>978.85333333333335</v>
      </c>
      <c r="I46" s="54">
        <f t="shared" si="1"/>
        <v>14682.800000000001</v>
      </c>
      <c r="J46" s="13" t="s">
        <v>121</v>
      </c>
      <c r="L46" s="2"/>
    </row>
    <row r="47" spans="1:12" ht="32.25" customHeight="1" x14ac:dyDescent="0.3">
      <c r="A47" s="6"/>
      <c r="B47" s="5"/>
      <c r="C47" s="4"/>
      <c r="D47" s="15" t="s">
        <v>224</v>
      </c>
      <c r="E47" s="41"/>
      <c r="F47" s="41">
        <f>3+5+4</f>
        <v>12</v>
      </c>
      <c r="G47" s="13" t="s">
        <v>30</v>
      </c>
      <c r="H47" s="45">
        <f>(1066.6+1825+1461)/F47</f>
        <v>362.7166666666667</v>
      </c>
      <c r="I47" s="54">
        <f t="shared" si="1"/>
        <v>4352.6000000000004</v>
      </c>
      <c r="J47" s="13" t="s">
        <v>121</v>
      </c>
      <c r="L47" s="2"/>
    </row>
    <row r="48" spans="1:12" ht="32.25" customHeight="1" x14ac:dyDescent="0.3">
      <c r="A48" s="6"/>
      <c r="B48" s="5"/>
      <c r="C48" s="4"/>
      <c r="D48" s="15" t="s">
        <v>225</v>
      </c>
      <c r="E48" s="41"/>
      <c r="F48" s="41">
        <f>3+3</f>
        <v>6</v>
      </c>
      <c r="G48" s="13" t="s">
        <v>30</v>
      </c>
      <c r="H48" s="45">
        <f>(4083.8+4200)/F48</f>
        <v>1380.6333333333332</v>
      </c>
      <c r="I48" s="54">
        <f t="shared" si="1"/>
        <v>8283.7999999999993</v>
      </c>
      <c r="J48" s="13" t="s">
        <v>121</v>
      </c>
      <c r="L48" s="2"/>
    </row>
    <row r="49" spans="1:12" ht="32.25" customHeight="1" x14ac:dyDescent="0.3">
      <c r="A49" s="6"/>
      <c r="B49" s="5"/>
      <c r="C49" s="4"/>
      <c r="D49" s="15" t="s">
        <v>184</v>
      </c>
      <c r="E49" s="41" t="s">
        <v>139</v>
      </c>
      <c r="F49" s="41">
        <f>14</f>
        <v>14</v>
      </c>
      <c r="G49" s="13" t="s">
        <v>29</v>
      </c>
      <c r="H49" s="41">
        <f>3651.2/F49</f>
        <v>260.8</v>
      </c>
      <c r="I49" s="54">
        <f t="shared" si="1"/>
        <v>3651.2000000000003</v>
      </c>
      <c r="J49" s="13" t="s">
        <v>118</v>
      </c>
      <c r="L49" s="2"/>
    </row>
    <row r="50" spans="1:12" ht="32.25" customHeight="1" x14ac:dyDescent="0.3">
      <c r="A50" s="6"/>
      <c r="B50" s="5"/>
      <c r="C50" s="4"/>
      <c r="D50" s="15" t="s">
        <v>222</v>
      </c>
      <c r="E50" s="41"/>
      <c r="F50" s="41">
        <f>2+1</f>
        <v>3</v>
      </c>
      <c r="G50" s="13" t="s">
        <v>30</v>
      </c>
      <c r="H50" s="45">
        <f>(79400+32700)/F50</f>
        <v>37366.666666666664</v>
      </c>
      <c r="I50" s="54">
        <f t="shared" ref="I50:I64" si="2">F50*H50</f>
        <v>112100</v>
      </c>
      <c r="J50" s="13" t="s">
        <v>205</v>
      </c>
      <c r="L50" s="2"/>
    </row>
    <row r="51" spans="1:12" ht="32.25" customHeight="1" x14ac:dyDescent="0.3">
      <c r="A51" s="6"/>
      <c r="B51" s="5"/>
      <c r="C51" s="4"/>
      <c r="D51" s="15" t="s">
        <v>245</v>
      </c>
      <c r="E51" s="41"/>
      <c r="F51" s="41">
        <f>6.16</f>
        <v>6.16</v>
      </c>
      <c r="G51" s="13" t="s">
        <v>113</v>
      </c>
      <c r="H51" s="45">
        <f>2840.4/F51</f>
        <v>461.10389610389609</v>
      </c>
      <c r="I51" s="56">
        <f>F51*H51</f>
        <v>2840.4</v>
      </c>
      <c r="J51" s="13" t="s">
        <v>118</v>
      </c>
      <c r="L51" s="2"/>
    </row>
    <row r="52" spans="1:12" ht="32.25" customHeight="1" x14ac:dyDescent="0.3">
      <c r="A52" s="6"/>
      <c r="B52" s="5"/>
      <c r="C52" s="4"/>
      <c r="D52" s="15" t="s">
        <v>246</v>
      </c>
      <c r="E52" s="41"/>
      <c r="F52" s="41">
        <f>2</f>
        <v>2</v>
      </c>
      <c r="G52" s="13" t="s">
        <v>247</v>
      </c>
      <c r="H52" s="45">
        <f>4760/F52</f>
        <v>2380</v>
      </c>
      <c r="I52" s="56">
        <f>F52*H52</f>
        <v>4760</v>
      </c>
      <c r="J52" s="13" t="s">
        <v>118</v>
      </c>
      <c r="L52" s="2"/>
    </row>
    <row r="53" spans="1:12" ht="32.25" customHeight="1" x14ac:dyDescent="0.3">
      <c r="A53" s="6"/>
      <c r="B53" s="5"/>
      <c r="C53" s="4"/>
      <c r="D53" s="15" t="s">
        <v>248</v>
      </c>
      <c r="E53" s="41"/>
      <c r="F53" s="41">
        <f>6.16</f>
        <v>6.16</v>
      </c>
      <c r="G53" s="13" t="s">
        <v>113</v>
      </c>
      <c r="H53" s="45">
        <f>27243.8/F53</f>
        <v>4422.6948051948048</v>
      </c>
      <c r="I53" s="56">
        <f>F53*H53</f>
        <v>27243.8</v>
      </c>
      <c r="J53" s="13" t="s">
        <v>118</v>
      </c>
      <c r="L53" s="2"/>
    </row>
    <row r="54" spans="1:12" ht="32.25" customHeight="1" x14ac:dyDescent="0.3">
      <c r="A54" s="6"/>
      <c r="B54" s="5"/>
      <c r="C54" s="4"/>
      <c r="D54" s="15" t="s">
        <v>249</v>
      </c>
      <c r="E54" s="41"/>
      <c r="F54" s="41">
        <f>14.78</f>
        <v>14.78</v>
      </c>
      <c r="G54" s="13" t="s">
        <v>113</v>
      </c>
      <c r="H54" s="45">
        <f>23035.2/F54</f>
        <v>1558.5385656292287</v>
      </c>
      <c r="I54" s="56">
        <f>F54*H54</f>
        <v>23035.200000000001</v>
      </c>
      <c r="J54" s="13" t="s">
        <v>118</v>
      </c>
      <c r="L54" s="2"/>
    </row>
    <row r="55" spans="1:12" ht="32.25" customHeight="1" x14ac:dyDescent="0.3">
      <c r="A55" s="6"/>
      <c r="B55" s="5"/>
      <c r="C55" s="4"/>
      <c r="D55" s="15" t="s">
        <v>264</v>
      </c>
      <c r="E55" s="41"/>
      <c r="F55" s="41">
        <f>87.48</f>
        <v>87.48</v>
      </c>
      <c r="G55" s="13" t="s">
        <v>113</v>
      </c>
      <c r="H55" s="45">
        <f>37867.6/F55</f>
        <v>432.8715134887974</v>
      </c>
      <c r="I55" s="56">
        <f t="shared" si="2"/>
        <v>37867.599999999999</v>
      </c>
      <c r="J55" s="13" t="s">
        <v>205</v>
      </c>
      <c r="L55" s="2"/>
    </row>
    <row r="56" spans="1:12" ht="50.25" customHeight="1" x14ac:dyDescent="0.3">
      <c r="A56" s="6"/>
      <c r="B56" s="5"/>
      <c r="C56" s="4"/>
      <c r="D56" s="15" t="s">
        <v>275</v>
      </c>
      <c r="E56" s="41"/>
      <c r="F56" s="41">
        <v>6</v>
      </c>
      <c r="G56" s="14" t="s">
        <v>30</v>
      </c>
      <c r="H56" s="41">
        <f>12241.8/F56</f>
        <v>2040.3</v>
      </c>
      <c r="I56" s="54">
        <f>F56*H56</f>
        <v>12241.8</v>
      </c>
      <c r="J56" s="13" t="s">
        <v>205</v>
      </c>
      <c r="L56" s="2"/>
    </row>
    <row r="57" spans="1:12" ht="68.25" customHeight="1" x14ac:dyDescent="0.3">
      <c r="A57" s="6"/>
      <c r="B57" s="5"/>
      <c r="C57" s="4"/>
      <c r="D57" s="15" t="s">
        <v>203</v>
      </c>
      <c r="E57" s="41"/>
      <c r="F57" s="41">
        <f>13.39</f>
        <v>13.39</v>
      </c>
      <c r="G57" s="14" t="s">
        <v>113</v>
      </c>
      <c r="H57" s="45">
        <f>2993.8/F57</f>
        <v>223.5847647498133</v>
      </c>
      <c r="I57" s="56">
        <f t="shared" si="2"/>
        <v>2993.8</v>
      </c>
      <c r="J57" s="13" t="s">
        <v>205</v>
      </c>
      <c r="L57" s="2"/>
    </row>
    <row r="58" spans="1:12" ht="68.25" customHeight="1" x14ac:dyDescent="0.3">
      <c r="A58" s="6"/>
      <c r="B58" s="5"/>
      <c r="C58" s="4"/>
      <c r="D58" s="15" t="s">
        <v>276</v>
      </c>
      <c r="E58" s="41"/>
      <c r="F58" s="41">
        <f>8</f>
        <v>8</v>
      </c>
      <c r="G58" s="14" t="s">
        <v>30</v>
      </c>
      <c r="H58" s="45">
        <f>980.6/F58</f>
        <v>122.575</v>
      </c>
      <c r="I58" s="56">
        <f>F58*H58</f>
        <v>980.6</v>
      </c>
      <c r="J58" s="13" t="s">
        <v>205</v>
      </c>
      <c r="L58" s="2"/>
    </row>
    <row r="59" spans="1:12" ht="68.25" customHeight="1" x14ac:dyDescent="0.3">
      <c r="A59" s="6"/>
      <c r="B59" s="5"/>
      <c r="C59" s="4"/>
      <c r="D59" s="15" t="s">
        <v>277</v>
      </c>
      <c r="E59" s="41"/>
      <c r="F59" s="41">
        <f>12</f>
        <v>12</v>
      </c>
      <c r="G59" s="14" t="s">
        <v>30</v>
      </c>
      <c r="H59" s="45">
        <f>40248.6/F59</f>
        <v>3354.0499999999997</v>
      </c>
      <c r="I59" s="56">
        <f>F59*H59</f>
        <v>40248.6</v>
      </c>
      <c r="J59" s="13" t="s">
        <v>205</v>
      </c>
      <c r="L59" s="2"/>
    </row>
    <row r="60" spans="1:12" ht="32.25" x14ac:dyDescent="0.3">
      <c r="A60" s="6" t="s">
        <v>49</v>
      </c>
      <c r="B60" s="5"/>
      <c r="C60" s="4"/>
      <c r="D60" s="15" t="s">
        <v>99</v>
      </c>
      <c r="E60" s="41"/>
      <c r="F60" s="41"/>
      <c r="G60" s="13" t="s">
        <v>53</v>
      </c>
      <c r="H60" s="41"/>
      <c r="I60" s="41"/>
      <c r="J60" s="13"/>
      <c r="L60" s="2"/>
    </row>
    <row r="61" spans="1:12" ht="32.25" x14ac:dyDescent="0.3">
      <c r="A61" s="6"/>
      <c r="B61" s="5"/>
      <c r="C61" s="4"/>
      <c r="D61" s="15" t="s">
        <v>226</v>
      </c>
      <c r="E61" s="41"/>
      <c r="F61" s="41">
        <f>0.17+0.64</f>
        <v>0.81</v>
      </c>
      <c r="G61" s="13" t="s">
        <v>113</v>
      </c>
      <c r="H61" s="45">
        <f>(539.8+2436.4)/F61</f>
        <v>3674.3209876543206</v>
      </c>
      <c r="I61" s="54">
        <f t="shared" si="2"/>
        <v>2976.2</v>
      </c>
      <c r="J61" s="13" t="s">
        <v>121</v>
      </c>
      <c r="L61" s="2"/>
    </row>
    <row r="62" spans="1:12" ht="32.25" x14ac:dyDescent="0.3">
      <c r="A62" s="6"/>
      <c r="B62" s="5"/>
      <c r="C62" s="4"/>
      <c r="D62" s="15" t="s">
        <v>227</v>
      </c>
      <c r="E62" s="41"/>
      <c r="F62" s="41">
        <v>0.32</v>
      </c>
      <c r="G62" s="13" t="s">
        <v>113</v>
      </c>
      <c r="H62" s="45">
        <f>815.6/F62</f>
        <v>2548.75</v>
      </c>
      <c r="I62" s="54">
        <f t="shared" si="2"/>
        <v>815.6</v>
      </c>
      <c r="J62" s="13" t="s">
        <v>121</v>
      </c>
      <c r="L62" s="2"/>
    </row>
    <row r="63" spans="1:12" ht="18.75" x14ac:dyDescent="0.3">
      <c r="A63" s="6"/>
      <c r="B63" s="5"/>
      <c r="C63" s="4"/>
      <c r="D63" s="15" t="s">
        <v>223</v>
      </c>
      <c r="E63" s="41"/>
      <c r="F63" s="41">
        <f>7+1</f>
        <v>8</v>
      </c>
      <c r="G63" s="13" t="s">
        <v>53</v>
      </c>
      <c r="H63" s="41">
        <f>(2706.2+256.6)/F63</f>
        <v>370.34999999999997</v>
      </c>
      <c r="I63" s="54">
        <f t="shared" si="2"/>
        <v>2962.7999999999997</v>
      </c>
      <c r="J63" s="13" t="s">
        <v>121</v>
      </c>
      <c r="L63" s="2"/>
    </row>
    <row r="64" spans="1:12" ht="18.75" x14ac:dyDescent="0.3">
      <c r="A64" s="6"/>
      <c r="B64" s="5"/>
      <c r="C64" s="4"/>
      <c r="D64" s="15" t="s">
        <v>221</v>
      </c>
      <c r="E64" s="41"/>
      <c r="F64" s="41">
        <f>1</f>
        <v>1</v>
      </c>
      <c r="G64" s="13" t="s">
        <v>53</v>
      </c>
      <c r="H64" s="41">
        <f>2000/F64</f>
        <v>2000</v>
      </c>
      <c r="I64" s="54">
        <f t="shared" si="2"/>
        <v>2000</v>
      </c>
      <c r="J64" s="13" t="s">
        <v>121</v>
      </c>
      <c r="L64" s="2"/>
    </row>
    <row r="65" spans="1:12" ht="32.25" x14ac:dyDescent="0.3">
      <c r="A65" s="6"/>
      <c r="B65" s="5"/>
      <c r="C65" s="4"/>
      <c r="D65" s="15" t="s">
        <v>238</v>
      </c>
      <c r="E65" s="41"/>
      <c r="F65" s="41">
        <f>8</f>
        <v>8</v>
      </c>
      <c r="G65" s="13" t="s">
        <v>30</v>
      </c>
      <c r="H65" s="41">
        <f>10000/F65</f>
        <v>1250</v>
      </c>
      <c r="I65" s="54">
        <f>F65*H65</f>
        <v>10000</v>
      </c>
      <c r="J65" s="13" t="s">
        <v>118</v>
      </c>
      <c r="L65" s="2"/>
    </row>
    <row r="66" spans="1:12" ht="32.25" x14ac:dyDescent="0.3">
      <c r="A66" s="6"/>
      <c r="B66" s="5"/>
      <c r="C66" s="4"/>
      <c r="D66" s="15" t="s">
        <v>251</v>
      </c>
      <c r="E66" s="41"/>
      <c r="F66" s="41">
        <f>11.52</f>
        <v>11.52</v>
      </c>
      <c r="G66" s="13" t="s">
        <v>113</v>
      </c>
      <c r="H66" s="45">
        <f>44150.6/F66</f>
        <v>3832.5173611111113</v>
      </c>
      <c r="I66" s="54">
        <f>F66*H66</f>
        <v>44150.6</v>
      </c>
      <c r="J66" s="13" t="s">
        <v>118</v>
      </c>
      <c r="L66" s="2"/>
    </row>
    <row r="67" spans="1:12" ht="32.25" x14ac:dyDescent="0.3">
      <c r="A67" s="6"/>
      <c r="B67" s="5"/>
      <c r="C67" s="4"/>
      <c r="D67" s="15" t="s">
        <v>271</v>
      </c>
      <c r="E67" s="41"/>
      <c r="F67" s="41">
        <f>11.52</f>
        <v>11.52</v>
      </c>
      <c r="G67" s="13" t="s">
        <v>113</v>
      </c>
      <c r="H67" s="45">
        <f>7231/F67</f>
        <v>627.69097222222229</v>
      </c>
      <c r="I67" s="54">
        <f>F67*H67</f>
        <v>7231.0000000000009</v>
      </c>
      <c r="J67" s="13" t="s">
        <v>118</v>
      </c>
      <c r="L67" s="2"/>
    </row>
    <row r="68" spans="1:12" ht="48" x14ac:dyDescent="0.3">
      <c r="A68" s="6"/>
      <c r="B68" s="5"/>
      <c r="C68" s="4"/>
      <c r="D68" s="15" t="s">
        <v>272</v>
      </c>
      <c r="E68" s="41"/>
      <c r="F68" s="41">
        <f>16.11+36.11</f>
        <v>52.22</v>
      </c>
      <c r="G68" s="13" t="s">
        <v>113</v>
      </c>
      <c r="H68" s="45">
        <f>(61704+11112.6)/F68</f>
        <v>1394.419762543087</v>
      </c>
      <c r="I68" s="54">
        <f>F68*H68</f>
        <v>72816.600000000006</v>
      </c>
      <c r="J68" s="13" t="s">
        <v>118</v>
      </c>
      <c r="L68" s="2"/>
    </row>
    <row r="69" spans="1:12" ht="32.25" x14ac:dyDescent="0.3">
      <c r="A69" s="6" t="s">
        <v>58</v>
      </c>
      <c r="B69" s="8"/>
      <c r="C69" s="4"/>
      <c r="D69" s="15" t="s">
        <v>45</v>
      </c>
      <c r="E69" s="41" t="s">
        <v>139</v>
      </c>
      <c r="F69" s="41" t="s">
        <v>139</v>
      </c>
      <c r="G69" s="14" t="s">
        <v>183</v>
      </c>
      <c r="H69" s="41" t="s">
        <v>139</v>
      </c>
      <c r="I69" s="41" t="s">
        <v>139</v>
      </c>
      <c r="J69" s="13"/>
      <c r="L69" s="2"/>
    </row>
    <row r="70" spans="1:12" ht="48" x14ac:dyDescent="0.3">
      <c r="A70" s="6"/>
      <c r="B70" s="8"/>
      <c r="C70" s="4"/>
      <c r="D70" s="15" t="s">
        <v>215</v>
      </c>
      <c r="E70" s="41"/>
      <c r="F70" s="41">
        <f>1+79.05</f>
        <v>80.05</v>
      </c>
      <c r="G70" s="13" t="s">
        <v>113</v>
      </c>
      <c r="H70" s="45">
        <f>(2139.4+176877.4)/F70</f>
        <v>2236.312304809494</v>
      </c>
      <c r="I70" s="54">
        <f t="shared" ref="I70:I76" si="3">F70*H70</f>
        <v>179016.8</v>
      </c>
      <c r="J70" s="13" t="s">
        <v>118</v>
      </c>
      <c r="L70" s="2"/>
    </row>
    <row r="71" spans="1:12" ht="32.25" x14ac:dyDescent="0.3">
      <c r="A71" s="6"/>
      <c r="B71" s="8"/>
      <c r="C71" s="4"/>
      <c r="D71" s="15" t="s">
        <v>255</v>
      </c>
      <c r="E71" s="41"/>
      <c r="F71" s="41">
        <f>95.15</f>
        <v>95.15</v>
      </c>
      <c r="G71" s="13" t="s">
        <v>113</v>
      </c>
      <c r="H71" s="45">
        <f>55416.2/F71</f>
        <v>582.40882816605358</v>
      </c>
      <c r="I71" s="54">
        <f t="shared" si="3"/>
        <v>55416.200000000004</v>
      </c>
      <c r="J71" s="13" t="s">
        <v>118</v>
      </c>
      <c r="L71" s="2"/>
    </row>
    <row r="72" spans="1:12" ht="32.25" x14ac:dyDescent="0.3">
      <c r="A72" s="6"/>
      <c r="B72" s="8"/>
      <c r="C72" s="4"/>
      <c r="D72" s="15" t="s">
        <v>256</v>
      </c>
      <c r="E72" s="41"/>
      <c r="F72" s="41">
        <f>1219.55</f>
        <v>1219.55</v>
      </c>
      <c r="G72" s="13" t="s">
        <v>113</v>
      </c>
      <c r="H72" s="45">
        <f>109265/F72</f>
        <v>89.594522569800333</v>
      </c>
      <c r="I72" s="54">
        <f t="shared" si="3"/>
        <v>109264.99999999999</v>
      </c>
      <c r="J72" s="13" t="s">
        <v>118</v>
      </c>
      <c r="L72" s="2"/>
    </row>
    <row r="73" spans="1:12" ht="63.75" x14ac:dyDescent="0.3">
      <c r="A73" s="6"/>
      <c r="B73" s="8"/>
      <c r="C73" s="4"/>
      <c r="D73" s="15" t="s">
        <v>257</v>
      </c>
      <c r="E73" s="41"/>
      <c r="F73" s="41">
        <f>1219.55</f>
        <v>1219.55</v>
      </c>
      <c r="G73" s="14" t="s">
        <v>113</v>
      </c>
      <c r="H73" s="45">
        <f>432775.4/F73</f>
        <v>354.86482719035712</v>
      </c>
      <c r="I73" s="56">
        <f t="shared" si="3"/>
        <v>432775.4</v>
      </c>
      <c r="J73" s="13" t="s">
        <v>118</v>
      </c>
      <c r="L73" s="2"/>
    </row>
    <row r="74" spans="1:12" ht="48" x14ac:dyDescent="0.3">
      <c r="A74" s="6"/>
      <c r="B74" s="8"/>
      <c r="C74" s="4"/>
      <c r="D74" s="15" t="s">
        <v>258</v>
      </c>
      <c r="E74" s="41"/>
      <c r="F74" s="41">
        <f>56.08</f>
        <v>56.08</v>
      </c>
      <c r="G74" s="13" t="s">
        <v>113</v>
      </c>
      <c r="H74" s="45">
        <f>19457.2/F74</f>
        <v>346.95435092724682</v>
      </c>
      <c r="I74" s="54">
        <f t="shared" si="3"/>
        <v>19457.2</v>
      </c>
      <c r="J74" s="13"/>
      <c r="L74" s="2"/>
    </row>
    <row r="75" spans="1:12" ht="18.75" x14ac:dyDescent="0.3">
      <c r="A75" s="6" t="s">
        <v>60</v>
      </c>
      <c r="B75" s="5"/>
      <c r="C75" s="4"/>
      <c r="D75" s="15" t="s">
        <v>50</v>
      </c>
      <c r="E75" s="41"/>
      <c r="F75" s="41"/>
      <c r="G75" s="14" t="s">
        <v>143</v>
      </c>
      <c r="H75" s="41"/>
      <c r="I75" s="41"/>
      <c r="J75" s="13" t="s">
        <v>205</v>
      </c>
      <c r="L75" s="2"/>
    </row>
    <row r="76" spans="1:12" ht="32.25" x14ac:dyDescent="0.3">
      <c r="A76" s="6"/>
      <c r="B76" s="5"/>
      <c r="C76" s="4"/>
      <c r="D76" s="15" t="s">
        <v>228</v>
      </c>
      <c r="E76" s="41"/>
      <c r="F76" s="41">
        <f>33</f>
        <v>33</v>
      </c>
      <c r="G76" s="14" t="s">
        <v>143</v>
      </c>
      <c r="H76" s="45">
        <f>97013.8/F76</f>
        <v>2939.8121212121214</v>
      </c>
      <c r="I76" s="54">
        <f t="shared" si="3"/>
        <v>97013.8</v>
      </c>
      <c r="J76" s="13" t="s">
        <v>121</v>
      </c>
      <c r="L76" s="2"/>
    </row>
    <row r="77" spans="1:12" ht="32.25" x14ac:dyDescent="0.3">
      <c r="A77" s="6"/>
      <c r="B77" s="5"/>
      <c r="C77" s="4"/>
      <c r="D77" s="15" t="s">
        <v>229</v>
      </c>
      <c r="E77" s="41"/>
      <c r="F77" s="41">
        <f>33</f>
        <v>33</v>
      </c>
      <c r="G77" s="14" t="s">
        <v>143</v>
      </c>
      <c r="H77" s="45">
        <f>86766.6/F77</f>
        <v>2629.2909090909093</v>
      </c>
      <c r="I77" s="54">
        <f>-F77*H77</f>
        <v>-86766.6</v>
      </c>
      <c r="J77" s="13" t="s">
        <v>121</v>
      </c>
      <c r="L77" s="2"/>
    </row>
    <row r="78" spans="1:12" ht="18.75" x14ac:dyDescent="0.3">
      <c r="A78" s="6"/>
      <c r="B78" s="5"/>
      <c r="C78" s="4"/>
      <c r="D78" s="15" t="s">
        <v>259</v>
      </c>
      <c r="E78" s="41"/>
      <c r="F78" s="41">
        <v>5.2</v>
      </c>
      <c r="G78" s="14" t="s">
        <v>143</v>
      </c>
      <c r="H78" s="45">
        <f>747/F78</f>
        <v>143.65384615384616</v>
      </c>
      <c r="I78" s="54">
        <f>F78*H78</f>
        <v>747.00000000000011</v>
      </c>
      <c r="J78" s="13" t="s">
        <v>118</v>
      </c>
      <c r="L78" s="2"/>
    </row>
    <row r="79" spans="1:12" ht="32.25" x14ac:dyDescent="0.3">
      <c r="A79" s="6"/>
      <c r="B79" s="5"/>
      <c r="C79" s="4"/>
      <c r="D79" s="15" t="s">
        <v>260</v>
      </c>
      <c r="E79" s="41"/>
      <c r="F79" s="41">
        <v>5</v>
      </c>
      <c r="G79" s="14" t="s">
        <v>30</v>
      </c>
      <c r="H79" s="45">
        <f>1425.6/F79</f>
        <v>285.12</v>
      </c>
      <c r="I79" s="54">
        <f>F79*H79</f>
        <v>1425.6</v>
      </c>
      <c r="J79" s="13" t="s">
        <v>118</v>
      </c>
      <c r="L79" s="2"/>
    </row>
    <row r="80" spans="1:12" ht="48" x14ac:dyDescent="0.3">
      <c r="A80" s="6"/>
      <c r="B80" s="5"/>
      <c r="C80" s="4"/>
      <c r="D80" s="15" t="s">
        <v>263</v>
      </c>
      <c r="E80" s="41"/>
      <c r="F80" s="41">
        <f>29.075</f>
        <v>29.074999999999999</v>
      </c>
      <c r="G80" s="14" t="s">
        <v>113</v>
      </c>
      <c r="H80" s="45">
        <f>22147.6/F80</f>
        <v>761.74032674118655</v>
      </c>
      <c r="I80" s="54">
        <f>F80*H80</f>
        <v>22147.599999999999</v>
      </c>
      <c r="J80" s="13" t="s">
        <v>118</v>
      </c>
      <c r="L80" s="2"/>
    </row>
    <row r="81" spans="1:12" ht="32.25" x14ac:dyDescent="0.3">
      <c r="A81" s="6"/>
      <c r="B81" s="5"/>
      <c r="C81" s="4"/>
      <c r="D81" s="15" t="s">
        <v>265</v>
      </c>
      <c r="E81" s="41"/>
      <c r="F81" s="41">
        <f>10.13</f>
        <v>10.130000000000001</v>
      </c>
      <c r="G81" s="14" t="s">
        <v>113</v>
      </c>
      <c r="H81" s="45">
        <f>4174.2/F81</f>
        <v>412.06317867719639</v>
      </c>
      <c r="I81" s="54">
        <f>F81*H81</f>
        <v>4174.2</v>
      </c>
      <c r="J81" s="13" t="s">
        <v>118</v>
      </c>
      <c r="L81" s="2"/>
    </row>
    <row r="82" spans="1:12" ht="32.25" x14ac:dyDescent="0.3">
      <c r="A82" s="6"/>
      <c r="B82" s="5"/>
      <c r="C82" s="4"/>
      <c r="D82" s="15" t="s">
        <v>267</v>
      </c>
      <c r="E82" s="41"/>
      <c r="F82" s="41">
        <f>4.45</f>
        <v>4.45</v>
      </c>
      <c r="G82" s="14" t="s">
        <v>113</v>
      </c>
      <c r="H82" s="45">
        <f>247/F82</f>
        <v>55.50561797752809</v>
      </c>
      <c r="I82" s="54">
        <f>F82*H82</f>
        <v>247</v>
      </c>
      <c r="J82" s="13" t="s">
        <v>118</v>
      </c>
      <c r="L82" s="2"/>
    </row>
    <row r="83" spans="1:12" ht="32.25" x14ac:dyDescent="0.3">
      <c r="A83" s="6" t="s">
        <v>61</v>
      </c>
      <c r="B83" s="5"/>
      <c r="C83" s="4"/>
      <c r="D83" s="15" t="s">
        <v>63</v>
      </c>
      <c r="E83" s="41" t="s">
        <v>139</v>
      </c>
      <c r="F83" s="41" t="s">
        <v>139</v>
      </c>
      <c r="G83" s="13" t="s">
        <v>29</v>
      </c>
      <c r="H83" s="41" t="s">
        <v>139</v>
      </c>
      <c r="I83" s="41" t="s">
        <v>139</v>
      </c>
      <c r="J83" s="13"/>
      <c r="L83" s="2"/>
    </row>
    <row r="84" spans="1:12" ht="18.75" x14ac:dyDescent="0.3">
      <c r="A84" s="6"/>
      <c r="B84" s="5"/>
      <c r="C84" s="4"/>
      <c r="D84" s="15" t="s">
        <v>154</v>
      </c>
      <c r="E84" s="41" t="s">
        <v>139</v>
      </c>
      <c r="F84" s="41" t="s">
        <v>139</v>
      </c>
      <c r="G84" s="13" t="s">
        <v>30</v>
      </c>
      <c r="H84" s="41" t="s">
        <v>139</v>
      </c>
      <c r="I84" s="41" t="s">
        <v>139</v>
      </c>
      <c r="J84" s="13"/>
      <c r="L84" s="2"/>
    </row>
    <row r="85" spans="1:12" ht="32.25" x14ac:dyDescent="0.3">
      <c r="A85" s="6"/>
      <c r="B85" s="5"/>
      <c r="C85" s="4"/>
      <c r="D85" s="15" t="s">
        <v>262</v>
      </c>
      <c r="E85" s="41"/>
      <c r="F85" s="41">
        <f>1</f>
        <v>1</v>
      </c>
      <c r="G85" s="13" t="s">
        <v>30</v>
      </c>
      <c r="H85" s="41">
        <f>(7494+467.4)/F85</f>
        <v>7961.4</v>
      </c>
      <c r="I85" s="54">
        <f>F85*H85</f>
        <v>7961.4</v>
      </c>
      <c r="J85" s="13" t="s">
        <v>118</v>
      </c>
      <c r="L85" s="2"/>
    </row>
    <row r="86" spans="1:12" ht="18.75" x14ac:dyDescent="0.3">
      <c r="A86" s="6" t="s">
        <v>57</v>
      </c>
      <c r="B86" s="8"/>
      <c r="C86" s="4"/>
      <c r="D86" s="4" t="s">
        <v>46</v>
      </c>
      <c r="E86" s="41" t="s">
        <v>139</v>
      </c>
      <c r="F86" s="41" t="s">
        <v>139</v>
      </c>
      <c r="G86" s="14" t="s">
        <v>52</v>
      </c>
      <c r="H86" s="41" t="s">
        <v>139</v>
      </c>
      <c r="I86" s="41" t="s">
        <v>139</v>
      </c>
      <c r="J86" s="13"/>
      <c r="L86" s="2"/>
    </row>
    <row r="87" spans="1:12" ht="18.75" x14ac:dyDescent="0.3">
      <c r="A87" s="6"/>
      <c r="B87" s="8"/>
      <c r="C87" s="4"/>
      <c r="D87" s="4" t="s">
        <v>250</v>
      </c>
      <c r="E87" s="41"/>
      <c r="F87" s="41">
        <f>51.5</f>
        <v>51.5</v>
      </c>
      <c r="G87" s="14" t="s">
        <v>113</v>
      </c>
      <c r="H87" s="45">
        <f>146891.2/F87</f>
        <v>2852.2563106796119</v>
      </c>
      <c r="I87" s="54">
        <f t="shared" ref="I87:I92" si="4">F87*H87</f>
        <v>146891.20000000001</v>
      </c>
      <c r="J87" s="13" t="s">
        <v>118</v>
      </c>
      <c r="L87" s="2"/>
    </row>
    <row r="88" spans="1:12" ht="32.25" x14ac:dyDescent="0.3">
      <c r="A88" s="6"/>
      <c r="B88" s="8"/>
      <c r="C88" s="4"/>
      <c r="D88" s="15" t="s">
        <v>252</v>
      </c>
      <c r="E88" s="41"/>
      <c r="F88" s="41">
        <f>82.84</f>
        <v>82.84</v>
      </c>
      <c r="G88" s="14" t="s">
        <v>113</v>
      </c>
      <c r="H88" s="45">
        <f>21412.8/F88</f>
        <v>258.48382423949784</v>
      </c>
      <c r="I88" s="54">
        <f t="shared" si="4"/>
        <v>21412.800000000003</v>
      </c>
      <c r="J88" s="13" t="s">
        <v>118</v>
      </c>
      <c r="L88" s="2"/>
    </row>
    <row r="89" spans="1:12" ht="32.25" x14ac:dyDescent="0.3">
      <c r="A89" s="6"/>
      <c r="B89" s="8"/>
      <c r="C89" s="4"/>
      <c r="D89" s="15" t="s">
        <v>253</v>
      </c>
      <c r="E89" s="41"/>
      <c r="F89" s="41">
        <f>82.84</f>
        <v>82.84</v>
      </c>
      <c r="G89" s="14" t="s">
        <v>113</v>
      </c>
      <c r="H89" s="45">
        <f>93556.8/F89</f>
        <v>1129.3674553355866</v>
      </c>
      <c r="I89" s="56">
        <f t="shared" si="4"/>
        <v>93556.799999999988</v>
      </c>
      <c r="J89" s="13" t="s">
        <v>118</v>
      </c>
      <c r="L89" s="2"/>
    </row>
    <row r="90" spans="1:12" ht="63.75" x14ac:dyDescent="0.3">
      <c r="A90" s="6"/>
      <c r="B90" s="8"/>
      <c r="C90" s="4"/>
      <c r="D90" s="15" t="s">
        <v>254</v>
      </c>
      <c r="E90" s="41"/>
      <c r="F90" s="41">
        <f>348.9</f>
        <v>348.9</v>
      </c>
      <c r="G90" s="13" t="s">
        <v>113</v>
      </c>
      <c r="H90" s="45">
        <f>150678/F90</f>
        <v>431.86586414445401</v>
      </c>
      <c r="I90" s="56">
        <f t="shared" si="4"/>
        <v>150678</v>
      </c>
      <c r="J90" s="13" t="s">
        <v>118</v>
      </c>
      <c r="L90" s="2"/>
    </row>
    <row r="91" spans="1:12" ht="32.25" x14ac:dyDescent="0.3">
      <c r="A91" s="6"/>
      <c r="B91" s="8"/>
      <c r="C91" s="4"/>
      <c r="D91" s="15" t="s">
        <v>240</v>
      </c>
      <c r="E91" s="41"/>
      <c r="F91" s="41">
        <f>0.99</f>
        <v>0.99</v>
      </c>
      <c r="G91" s="14" t="s">
        <v>113</v>
      </c>
      <c r="H91" s="45">
        <f>3115.2/F91</f>
        <v>3146.6666666666665</v>
      </c>
      <c r="I91" s="54">
        <f t="shared" si="4"/>
        <v>3115.2</v>
      </c>
      <c r="J91" s="13" t="s">
        <v>118</v>
      </c>
      <c r="L91" s="2"/>
    </row>
    <row r="92" spans="1:12" ht="63.75" x14ac:dyDescent="0.3">
      <c r="A92" s="6"/>
      <c r="B92" s="8"/>
      <c r="C92" s="4"/>
      <c r="D92" s="15" t="s">
        <v>280</v>
      </c>
      <c r="E92" s="41"/>
      <c r="F92" s="41">
        <f>1.105</f>
        <v>1.105</v>
      </c>
      <c r="G92" s="14" t="s">
        <v>113</v>
      </c>
      <c r="H92" s="45">
        <f>218/F92</f>
        <v>197.28506787330318</v>
      </c>
      <c r="I92" s="54">
        <f t="shared" si="4"/>
        <v>218</v>
      </c>
      <c r="J92" s="13" t="s">
        <v>118</v>
      </c>
      <c r="L92" s="2"/>
    </row>
    <row r="93" spans="1:12" ht="24" customHeight="1" x14ac:dyDescent="0.3">
      <c r="A93" s="6" t="s">
        <v>59</v>
      </c>
      <c r="B93" s="8"/>
      <c r="C93" s="4"/>
      <c r="D93" s="4" t="s">
        <v>47</v>
      </c>
      <c r="E93" s="41" t="s">
        <v>139</v>
      </c>
      <c r="F93" s="41" t="s">
        <v>139</v>
      </c>
      <c r="G93" s="14" t="s">
        <v>52</v>
      </c>
      <c r="H93" s="41" t="s">
        <v>139</v>
      </c>
      <c r="I93" s="41" t="s">
        <v>139</v>
      </c>
      <c r="J93" s="13"/>
      <c r="L93" s="2"/>
    </row>
    <row r="94" spans="1:12" ht="24" customHeight="1" x14ac:dyDescent="0.3">
      <c r="A94" s="6" t="s">
        <v>64</v>
      </c>
      <c r="B94" s="5"/>
      <c r="C94" s="4"/>
      <c r="D94" s="4" t="s">
        <v>92</v>
      </c>
      <c r="E94" s="41" t="s">
        <v>139</v>
      </c>
      <c r="F94" s="41" t="s">
        <v>139</v>
      </c>
      <c r="G94" s="14" t="s">
        <v>53</v>
      </c>
      <c r="H94" s="41"/>
      <c r="I94" s="41"/>
      <c r="J94" s="13"/>
      <c r="L94" s="2"/>
    </row>
    <row r="95" spans="1:12" ht="24" customHeight="1" x14ac:dyDescent="0.3">
      <c r="A95" s="6"/>
      <c r="B95" s="8"/>
      <c r="C95" s="4"/>
      <c r="D95" s="4" t="s">
        <v>268</v>
      </c>
      <c r="E95" s="41"/>
      <c r="F95" s="41">
        <f>10</f>
        <v>10</v>
      </c>
      <c r="G95" s="14" t="s">
        <v>30</v>
      </c>
      <c r="H95" s="41">
        <f>12898.8/F95</f>
        <v>1289.8799999999999</v>
      </c>
      <c r="I95" s="54">
        <f>F95*H95</f>
        <v>12898.8</v>
      </c>
      <c r="J95" s="13" t="s">
        <v>118</v>
      </c>
      <c r="L95" s="2"/>
    </row>
    <row r="96" spans="1:12" ht="18.75" x14ac:dyDescent="0.3">
      <c r="A96" s="6"/>
      <c r="B96" s="5"/>
      <c r="C96" s="4"/>
      <c r="D96" s="4" t="s">
        <v>269</v>
      </c>
      <c r="E96" s="41"/>
      <c r="F96" s="41">
        <f>10</f>
        <v>10</v>
      </c>
      <c r="G96" s="14" t="s">
        <v>30</v>
      </c>
      <c r="H96" s="41">
        <f>33343.2/F96</f>
        <v>3334.3199999999997</v>
      </c>
      <c r="I96" s="54">
        <f>F96*H96</f>
        <v>33343.199999999997</v>
      </c>
      <c r="J96" s="13" t="s">
        <v>118</v>
      </c>
      <c r="L96" s="2"/>
    </row>
    <row r="97" spans="1:12" ht="18.75" x14ac:dyDescent="0.3">
      <c r="A97" s="28"/>
      <c r="B97" s="22"/>
      <c r="C97" s="22"/>
      <c r="D97" s="22"/>
      <c r="E97" s="46"/>
      <c r="F97" s="46"/>
      <c r="G97" s="12"/>
      <c r="H97" s="41"/>
      <c r="I97" s="45">
        <f>SUM(I44:I96)</f>
        <v>1792114.3999999997</v>
      </c>
      <c r="J97" s="13"/>
      <c r="L97" s="2"/>
    </row>
    <row r="98" spans="1:12" ht="18.75" x14ac:dyDescent="0.3">
      <c r="A98" s="69" t="s">
        <v>66</v>
      </c>
      <c r="B98" s="70"/>
      <c r="C98" s="70"/>
      <c r="D98" s="70"/>
      <c r="E98" s="70"/>
      <c r="F98" s="70"/>
      <c r="G98" s="71"/>
      <c r="H98" s="18"/>
      <c r="I98" s="5"/>
      <c r="J98" s="13"/>
      <c r="L98" s="2"/>
    </row>
    <row r="99" spans="1:12" ht="37.5" x14ac:dyDescent="0.25">
      <c r="A99" s="9" t="s">
        <v>28</v>
      </c>
      <c r="B99" s="8"/>
      <c r="C99" s="4"/>
      <c r="D99" s="15" t="s">
        <v>141</v>
      </c>
      <c r="E99" s="41" t="s">
        <v>139</v>
      </c>
      <c r="F99" s="41" t="s">
        <v>139</v>
      </c>
      <c r="G99" s="13" t="s">
        <v>53</v>
      </c>
      <c r="H99" s="41" t="s">
        <v>139</v>
      </c>
      <c r="I99" s="41" t="s">
        <v>139</v>
      </c>
      <c r="J99" s="13"/>
      <c r="L99" s="2"/>
    </row>
    <row r="100" spans="1:12" ht="31.5" x14ac:dyDescent="0.25">
      <c r="A100" s="9"/>
      <c r="B100" s="8"/>
      <c r="C100" s="4"/>
      <c r="D100" s="15" t="s">
        <v>266</v>
      </c>
      <c r="E100" s="41"/>
      <c r="F100" s="41">
        <v>12.53</v>
      </c>
      <c r="G100" s="13" t="s">
        <v>113</v>
      </c>
      <c r="H100" s="45">
        <f>8964.6/F100</f>
        <v>715.45091779728659</v>
      </c>
      <c r="I100" s="54">
        <f>F100*H100</f>
        <v>8964.6</v>
      </c>
      <c r="J100" s="13" t="s">
        <v>118</v>
      </c>
      <c r="L100" s="2"/>
    </row>
    <row r="101" spans="1:12" ht="46.5" customHeight="1" x14ac:dyDescent="0.25">
      <c r="A101" s="9" t="s">
        <v>91</v>
      </c>
      <c r="B101" s="8"/>
      <c r="C101" s="4"/>
      <c r="D101" s="42" t="s">
        <v>124</v>
      </c>
      <c r="E101" s="32"/>
      <c r="F101" s="13">
        <f>2151.2</f>
        <v>2151.1999999999998</v>
      </c>
      <c r="G101" s="13" t="s">
        <v>113</v>
      </c>
      <c r="H101" s="33">
        <f>(9059.6+9059.6+9059.6+9265.8+9265.8+9265.8+9510.8+9510.8+9510.8+9808.8+9808.08+9808.8)/F101</f>
        <v>52.498270732614372</v>
      </c>
      <c r="I101" s="53">
        <f>F101*H101</f>
        <v>112934.28000000003</v>
      </c>
      <c r="J101" s="13" t="s">
        <v>116</v>
      </c>
      <c r="L101" s="2"/>
    </row>
    <row r="102" spans="1:12" ht="46.5" customHeight="1" x14ac:dyDescent="0.25">
      <c r="A102" s="9"/>
      <c r="B102" s="8"/>
      <c r="C102" s="4"/>
      <c r="D102" s="15" t="s">
        <v>111</v>
      </c>
      <c r="E102" s="32"/>
      <c r="F102" s="13">
        <f>3131</f>
        <v>3131</v>
      </c>
      <c r="G102" s="13" t="s">
        <v>29</v>
      </c>
      <c r="H102" s="33">
        <f>261548.4/F102</f>
        <v>83.535100606834874</v>
      </c>
      <c r="I102" s="33">
        <f t="shared" ref="I102:I103" si="5">F102*H102</f>
        <v>261548.4</v>
      </c>
      <c r="J102" s="13" t="s">
        <v>121</v>
      </c>
      <c r="L102" s="2"/>
    </row>
    <row r="103" spans="1:12" ht="46.5" customHeight="1" x14ac:dyDescent="0.25">
      <c r="A103" s="9"/>
      <c r="B103" s="8"/>
      <c r="C103" s="4"/>
      <c r="D103" s="15" t="s">
        <v>112</v>
      </c>
      <c r="E103" s="41"/>
      <c r="F103" s="41">
        <v>275</v>
      </c>
      <c r="G103" s="13" t="s">
        <v>29</v>
      </c>
      <c r="H103" s="45">
        <f>23234.6/F103</f>
        <v>84.489454545454535</v>
      </c>
      <c r="I103" s="41">
        <f t="shared" si="5"/>
        <v>23234.6</v>
      </c>
      <c r="J103" s="13" t="s">
        <v>121</v>
      </c>
      <c r="L103" s="2"/>
    </row>
    <row r="104" spans="1:12" ht="46.5" customHeight="1" x14ac:dyDescent="0.25">
      <c r="A104" s="9"/>
      <c r="B104" s="8"/>
      <c r="C104" s="4"/>
      <c r="D104" s="15" t="s">
        <v>152</v>
      </c>
      <c r="E104" s="41"/>
      <c r="F104" s="41">
        <f>1+1+1+1+1+10</f>
        <v>15</v>
      </c>
      <c r="G104" s="13" t="s">
        <v>30</v>
      </c>
      <c r="H104" s="45">
        <f>(1292.8+1319.6+1363.6+1363.6+1400.2+13995.2)/F104</f>
        <v>1382.3333333333333</v>
      </c>
      <c r="I104" s="41">
        <f t="shared" ref="I104:I107" si="6">F104*H104</f>
        <v>20735</v>
      </c>
      <c r="J104" s="13" t="s">
        <v>116</v>
      </c>
      <c r="L104" s="2"/>
    </row>
    <row r="105" spans="1:12" ht="46.5" customHeight="1" x14ac:dyDescent="0.25">
      <c r="A105" s="9"/>
      <c r="B105" s="8"/>
      <c r="C105" s="4"/>
      <c r="D105" s="15" t="s">
        <v>171</v>
      </c>
      <c r="E105" s="41"/>
      <c r="F105" s="41">
        <f>3</f>
        <v>3</v>
      </c>
      <c r="G105" s="13" t="s">
        <v>30</v>
      </c>
      <c r="H105" s="45">
        <f>2617/F105</f>
        <v>872.33333333333337</v>
      </c>
      <c r="I105" s="41">
        <f t="shared" si="6"/>
        <v>2617</v>
      </c>
      <c r="J105" s="13" t="s">
        <v>118</v>
      </c>
      <c r="L105" s="2"/>
    </row>
    <row r="106" spans="1:12" ht="46.5" customHeight="1" x14ac:dyDescent="0.25">
      <c r="A106" s="9"/>
      <c r="B106" s="8"/>
      <c r="C106" s="4"/>
      <c r="D106" s="15" t="s">
        <v>186</v>
      </c>
      <c r="E106" s="41"/>
      <c r="F106" s="41">
        <f>3</f>
        <v>3</v>
      </c>
      <c r="G106" s="13" t="s">
        <v>30</v>
      </c>
      <c r="H106" s="41">
        <f>21066/F106</f>
        <v>7022</v>
      </c>
      <c r="I106" s="41">
        <f t="shared" si="6"/>
        <v>21066</v>
      </c>
      <c r="J106" s="13" t="s">
        <v>118</v>
      </c>
      <c r="L106" s="2"/>
    </row>
    <row r="107" spans="1:12" ht="46.5" customHeight="1" x14ac:dyDescent="0.25">
      <c r="A107" s="9"/>
      <c r="B107" s="8"/>
      <c r="C107" s="4"/>
      <c r="D107" s="15" t="s">
        <v>153</v>
      </c>
      <c r="E107" s="41"/>
      <c r="F107" s="41">
        <f>6</f>
        <v>6</v>
      </c>
      <c r="G107" s="13" t="s">
        <v>30</v>
      </c>
      <c r="H107" s="45">
        <f>13348.4/F107</f>
        <v>2224.7333333333331</v>
      </c>
      <c r="I107" s="41">
        <f t="shared" si="6"/>
        <v>13348.399999999998</v>
      </c>
      <c r="J107" s="13" t="s">
        <v>118</v>
      </c>
      <c r="L107" s="2"/>
    </row>
    <row r="108" spans="1:12" ht="46.5" customHeight="1" x14ac:dyDescent="0.25">
      <c r="A108" s="9"/>
      <c r="B108" s="8"/>
      <c r="C108" s="4"/>
      <c r="D108" s="15" t="s">
        <v>176</v>
      </c>
      <c r="E108" s="41"/>
      <c r="F108" s="41"/>
      <c r="G108" s="13" t="s">
        <v>29</v>
      </c>
      <c r="H108" s="41"/>
      <c r="I108" s="41"/>
      <c r="J108" s="13"/>
      <c r="L108" s="2"/>
    </row>
    <row r="109" spans="1:12" ht="46.5" customHeight="1" x14ac:dyDescent="0.25">
      <c r="A109" s="9"/>
      <c r="B109" s="8"/>
      <c r="C109" s="4"/>
      <c r="D109" s="15" t="s">
        <v>177</v>
      </c>
      <c r="E109" s="41"/>
      <c r="F109" s="41"/>
      <c r="G109" s="13" t="s">
        <v>29</v>
      </c>
      <c r="H109" s="41"/>
      <c r="I109" s="41" t="s">
        <v>139</v>
      </c>
      <c r="J109" s="13"/>
      <c r="L109" s="2"/>
    </row>
    <row r="110" spans="1:12" ht="46.5" customHeight="1" x14ac:dyDescent="0.25">
      <c r="A110" s="9"/>
      <c r="B110" s="8"/>
      <c r="C110" s="4"/>
      <c r="D110" s="15" t="s">
        <v>168</v>
      </c>
      <c r="E110" s="41" t="s">
        <v>139</v>
      </c>
      <c r="F110" s="41">
        <f>4.5</f>
        <v>4.5</v>
      </c>
      <c r="G110" s="13" t="s">
        <v>29</v>
      </c>
      <c r="H110" s="41">
        <f>1553.4/F110</f>
        <v>345.20000000000005</v>
      </c>
      <c r="I110" s="54">
        <f>F110*H110</f>
        <v>1553.4</v>
      </c>
      <c r="J110" s="13" t="s">
        <v>118</v>
      </c>
      <c r="L110" s="2"/>
    </row>
    <row r="111" spans="1:12" ht="46.5" customHeight="1" x14ac:dyDescent="0.25">
      <c r="A111" s="9"/>
      <c r="B111" s="8"/>
      <c r="C111" s="4"/>
      <c r="D111" s="15" t="s">
        <v>234</v>
      </c>
      <c r="E111" s="41" t="s">
        <v>139</v>
      </c>
      <c r="F111" s="41">
        <f>5</f>
        <v>5</v>
      </c>
      <c r="G111" s="13" t="s">
        <v>167</v>
      </c>
      <c r="H111" s="41">
        <f>116.4/F111</f>
        <v>23.28</v>
      </c>
      <c r="I111" s="54">
        <f>F111*H111</f>
        <v>116.4</v>
      </c>
      <c r="J111" s="13" t="s">
        <v>118</v>
      </c>
      <c r="L111" s="2"/>
    </row>
    <row r="112" spans="1:12" ht="46.5" customHeight="1" x14ac:dyDescent="0.25">
      <c r="A112" s="9"/>
      <c r="B112" s="8"/>
      <c r="C112" s="4"/>
      <c r="D112" s="15" t="s">
        <v>169</v>
      </c>
      <c r="E112" s="41"/>
      <c r="F112" s="41">
        <v>4.5</v>
      </c>
      <c r="G112" s="13" t="s">
        <v>29</v>
      </c>
      <c r="H112" s="45">
        <f>10200/F112</f>
        <v>2266.6666666666665</v>
      </c>
      <c r="I112" s="54">
        <f>F112*H112</f>
        <v>10200</v>
      </c>
      <c r="J112" s="13" t="s">
        <v>118</v>
      </c>
      <c r="L112" s="2"/>
    </row>
    <row r="113" spans="1:12" ht="46.5" customHeight="1" x14ac:dyDescent="0.25">
      <c r="A113" s="9"/>
      <c r="B113" s="8"/>
      <c r="C113" s="4"/>
      <c r="D113" s="15" t="s">
        <v>165</v>
      </c>
      <c r="E113" s="31"/>
      <c r="F113" s="31">
        <f>2</f>
        <v>2</v>
      </c>
      <c r="G113" s="13" t="s">
        <v>149</v>
      </c>
      <c r="H113" s="31">
        <f>12596.2/F113</f>
        <v>6298.1</v>
      </c>
      <c r="I113" s="55">
        <f t="shared" ref="I113" si="7">F113*H113</f>
        <v>12596.2</v>
      </c>
      <c r="J113" s="13" t="s">
        <v>118</v>
      </c>
      <c r="L113" s="2"/>
    </row>
    <row r="114" spans="1:12" ht="46.5" customHeight="1" x14ac:dyDescent="0.25">
      <c r="A114" s="9"/>
      <c r="B114" s="8"/>
      <c r="C114" s="4"/>
      <c r="D114" s="15" t="s">
        <v>164</v>
      </c>
      <c r="E114" s="41"/>
      <c r="F114" s="41"/>
      <c r="G114" s="13" t="s">
        <v>149</v>
      </c>
      <c r="H114" s="41"/>
      <c r="I114" s="41"/>
      <c r="J114" s="13"/>
      <c r="L114" s="2"/>
    </row>
    <row r="115" spans="1:12" ht="46.5" customHeight="1" x14ac:dyDescent="0.25">
      <c r="A115" s="9"/>
      <c r="B115" s="8"/>
      <c r="C115" s="4"/>
      <c r="D115" s="15" t="s">
        <v>174</v>
      </c>
      <c r="E115" s="41"/>
      <c r="F115" s="41">
        <v>2</v>
      </c>
      <c r="G115" s="13" t="s">
        <v>148</v>
      </c>
      <c r="H115" s="45">
        <f>(1001.2)/F115</f>
        <v>500.6</v>
      </c>
      <c r="I115" s="54">
        <f>F115*H115</f>
        <v>1001.2</v>
      </c>
      <c r="J115" s="13" t="s">
        <v>116</v>
      </c>
      <c r="L115" s="2"/>
    </row>
    <row r="116" spans="1:12" ht="31.5" x14ac:dyDescent="0.25">
      <c r="A116" s="9" t="s">
        <v>82</v>
      </c>
      <c r="B116" s="8"/>
      <c r="C116" s="4"/>
      <c r="D116" s="15" t="s">
        <v>156</v>
      </c>
      <c r="E116" s="41" t="s">
        <v>139</v>
      </c>
      <c r="F116" s="41" t="s">
        <v>139</v>
      </c>
      <c r="G116" s="13" t="s">
        <v>53</v>
      </c>
      <c r="H116" s="41" t="s">
        <v>139</v>
      </c>
      <c r="I116" s="41" t="s">
        <v>139</v>
      </c>
      <c r="J116" s="13"/>
      <c r="L116" s="2"/>
    </row>
    <row r="117" spans="1:12" ht="31.5" x14ac:dyDescent="0.25">
      <c r="A117" s="9"/>
      <c r="B117" s="8"/>
      <c r="C117" s="4"/>
      <c r="D117" s="15" t="s">
        <v>157</v>
      </c>
      <c r="E117" s="41" t="s">
        <v>139</v>
      </c>
      <c r="F117" s="41" t="s">
        <v>139</v>
      </c>
      <c r="G117" s="13" t="s">
        <v>53</v>
      </c>
      <c r="H117" s="41" t="s">
        <v>139</v>
      </c>
      <c r="I117" s="41" t="s">
        <v>139</v>
      </c>
      <c r="J117" s="13"/>
      <c r="L117" s="2"/>
    </row>
    <row r="118" spans="1:12" ht="31.5" x14ac:dyDescent="0.25">
      <c r="A118" s="9"/>
      <c r="B118" s="8"/>
      <c r="C118" s="4"/>
      <c r="D118" s="15" t="s">
        <v>212</v>
      </c>
      <c r="E118" s="41"/>
      <c r="F118" s="41">
        <f>2+2+2+6+2+3</f>
        <v>17</v>
      </c>
      <c r="G118" s="13" t="s">
        <v>30</v>
      </c>
      <c r="H118" s="45">
        <f>(2222+2222+2349.2+6999+2394+3781.6)/F118</f>
        <v>1174.5764705882352</v>
      </c>
      <c r="I118" s="54">
        <f>F118*H118-3991</f>
        <v>15976.8</v>
      </c>
      <c r="J118" s="13" t="s">
        <v>116</v>
      </c>
      <c r="L118" s="2"/>
    </row>
    <row r="119" spans="1:12" ht="18.75" x14ac:dyDescent="0.25">
      <c r="A119" s="9"/>
      <c r="B119" s="8"/>
      <c r="C119" s="4"/>
      <c r="D119" s="15" t="s">
        <v>132</v>
      </c>
      <c r="E119" s="41"/>
      <c r="F119" s="41">
        <f>2+18+9</f>
        <v>29</v>
      </c>
      <c r="G119" s="13" t="s">
        <v>30</v>
      </c>
      <c r="H119" s="45">
        <f>(2334.2+21130.6+10565.2)/F119</f>
        <v>1173.4482758620691</v>
      </c>
      <c r="I119" s="54">
        <f>F119*H119</f>
        <v>34030</v>
      </c>
      <c r="J119" s="13" t="s">
        <v>118</v>
      </c>
      <c r="L119" s="2"/>
    </row>
    <row r="120" spans="1:12" ht="18.75" x14ac:dyDescent="0.25">
      <c r="A120" s="9"/>
      <c r="B120" s="8"/>
      <c r="C120" s="4"/>
      <c r="D120" s="15" t="s">
        <v>188</v>
      </c>
      <c r="E120" s="41"/>
      <c r="F120" s="41">
        <f>2+4</f>
        <v>6</v>
      </c>
      <c r="G120" s="13" t="s">
        <v>30</v>
      </c>
      <c r="H120" s="45">
        <f>(3853.4+7745.6)/F120</f>
        <v>1933.1666666666667</v>
      </c>
      <c r="I120" s="54">
        <f>F120*H120</f>
        <v>11599</v>
      </c>
      <c r="J120" s="13" t="s">
        <v>118</v>
      </c>
      <c r="L120" s="2"/>
    </row>
    <row r="121" spans="1:12" ht="31.5" x14ac:dyDescent="0.25">
      <c r="A121" s="9"/>
      <c r="B121" s="8"/>
      <c r="C121" s="4"/>
      <c r="D121" s="15" t="s">
        <v>219</v>
      </c>
      <c r="E121" s="41"/>
      <c r="F121" s="41">
        <f>2</f>
        <v>2</v>
      </c>
      <c r="G121" s="13" t="s">
        <v>30</v>
      </c>
      <c r="H121" s="41">
        <f>9001/F121</f>
        <v>4500.5</v>
      </c>
      <c r="I121" s="54">
        <f>F121*H121</f>
        <v>9001</v>
      </c>
      <c r="J121" s="13" t="s">
        <v>121</v>
      </c>
      <c r="L121" s="2"/>
    </row>
    <row r="122" spans="1:12" ht="31.5" x14ac:dyDescent="0.25">
      <c r="A122" s="9"/>
      <c r="B122" s="8"/>
      <c r="C122" s="4"/>
      <c r="D122" s="15" t="s">
        <v>187</v>
      </c>
      <c r="E122" s="41"/>
      <c r="F122" s="41"/>
      <c r="G122" s="13" t="s">
        <v>30</v>
      </c>
      <c r="H122" s="41"/>
      <c r="I122" s="41"/>
      <c r="J122" s="13"/>
      <c r="L122" s="2"/>
    </row>
    <row r="123" spans="1:12" ht="31.5" x14ac:dyDescent="0.25">
      <c r="A123" s="9"/>
      <c r="B123" s="8"/>
      <c r="C123" s="4"/>
      <c r="D123" s="15" t="s">
        <v>166</v>
      </c>
      <c r="E123" s="41"/>
      <c r="F123" s="41"/>
      <c r="G123" s="13" t="s">
        <v>30</v>
      </c>
      <c r="H123" s="41"/>
      <c r="I123" s="41"/>
      <c r="J123" s="13"/>
      <c r="L123" s="2"/>
    </row>
    <row r="124" spans="1:12" ht="18.75" x14ac:dyDescent="0.25">
      <c r="A124" s="9"/>
      <c r="B124" s="8"/>
      <c r="C124" s="4"/>
      <c r="D124" s="15" t="s">
        <v>158</v>
      </c>
      <c r="E124" s="41"/>
      <c r="F124" s="41"/>
      <c r="G124" s="13" t="s">
        <v>159</v>
      </c>
      <c r="H124" s="41"/>
      <c r="I124" s="41"/>
      <c r="J124" s="13"/>
      <c r="L124" s="2"/>
    </row>
    <row r="125" spans="1:12" ht="18.75" x14ac:dyDescent="0.25">
      <c r="A125" s="9" t="s">
        <v>19</v>
      </c>
      <c r="B125" s="8"/>
      <c r="C125" s="4"/>
      <c r="D125" s="15" t="s">
        <v>67</v>
      </c>
      <c r="E125" s="41" t="s">
        <v>139</v>
      </c>
      <c r="F125" s="41" t="s">
        <v>139</v>
      </c>
      <c r="G125" s="13" t="s">
        <v>29</v>
      </c>
      <c r="H125" s="41" t="s">
        <v>139</v>
      </c>
      <c r="I125" s="41" t="s">
        <v>139</v>
      </c>
      <c r="J125" s="13"/>
      <c r="L125" s="2"/>
    </row>
    <row r="126" spans="1:12" ht="31.5" x14ac:dyDescent="0.25">
      <c r="A126" s="9" t="s">
        <v>20</v>
      </c>
      <c r="B126" s="8"/>
      <c r="C126" s="4"/>
      <c r="D126" s="15" t="s">
        <v>69</v>
      </c>
      <c r="E126" s="41" t="s">
        <v>139</v>
      </c>
      <c r="F126" s="41">
        <f>1</f>
        <v>1</v>
      </c>
      <c r="G126" s="13" t="s">
        <v>53</v>
      </c>
      <c r="H126" s="41">
        <f>17000/F126</f>
        <v>17000</v>
      </c>
      <c r="I126" s="54">
        <f>F126*H126</f>
        <v>17000</v>
      </c>
      <c r="J126" s="13"/>
      <c r="L126" s="2"/>
    </row>
    <row r="127" spans="1:12" ht="18.75" x14ac:dyDescent="0.25">
      <c r="A127" s="47"/>
      <c r="B127" s="48"/>
      <c r="C127" s="22"/>
      <c r="D127" s="30"/>
      <c r="E127" s="46"/>
      <c r="F127" s="46"/>
      <c r="G127" s="31"/>
      <c r="H127" s="41"/>
      <c r="I127" s="45">
        <f>SUM(I100:I126)</f>
        <v>577522.28</v>
      </c>
      <c r="J127" s="13"/>
      <c r="L127" s="2"/>
    </row>
    <row r="128" spans="1:12" ht="18.75" x14ac:dyDescent="0.3">
      <c r="A128" s="65" t="s">
        <v>70</v>
      </c>
      <c r="B128" s="66"/>
      <c r="C128" s="66"/>
      <c r="D128" s="66"/>
      <c r="E128" s="66"/>
      <c r="F128" s="66"/>
      <c r="G128" s="67"/>
      <c r="H128" s="19"/>
      <c r="I128" s="5"/>
      <c r="J128" s="13"/>
      <c r="L128" s="2"/>
    </row>
    <row r="129" spans="1:12" ht="37.5" x14ac:dyDescent="0.25">
      <c r="A129" s="9" t="s">
        <v>91</v>
      </c>
      <c r="B129" s="8"/>
      <c r="C129" s="4"/>
      <c r="D129" s="4" t="s">
        <v>127</v>
      </c>
      <c r="E129" s="31"/>
      <c r="F129" s="13">
        <f>30+20+15+10+30+20+20+25+20</f>
        <v>190</v>
      </c>
      <c r="G129" s="13" t="s">
        <v>115</v>
      </c>
      <c r="H129" s="33">
        <f>(18952+12634.8+9476+6458.4+19378.8+12920.4+13261.4+16577.4+13681.2)/F129/3</f>
        <v>216.38666666666663</v>
      </c>
      <c r="I129" s="33">
        <f t="shared" ref="I129" si="8">F129*H129</f>
        <v>41113.46666666666</v>
      </c>
      <c r="J129" s="13" t="s">
        <v>116</v>
      </c>
      <c r="L129" s="2"/>
    </row>
    <row r="130" spans="1:12" ht="18.75" x14ac:dyDescent="0.25">
      <c r="A130" s="9"/>
      <c r="B130" s="8"/>
      <c r="C130" s="4"/>
      <c r="D130" s="15" t="s">
        <v>147</v>
      </c>
      <c r="E130" s="41" t="s">
        <v>139</v>
      </c>
      <c r="F130" s="41" t="s">
        <v>139</v>
      </c>
      <c r="G130" s="13" t="s">
        <v>30</v>
      </c>
      <c r="H130" s="41" t="s">
        <v>139</v>
      </c>
      <c r="I130" s="41" t="s">
        <v>139</v>
      </c>
      <c r="J130" s="13"/>
      <c r="L130" s="2"/>
    </row>
    <row r="131" spans="1:12" ht="31.5" x14ac:dyDescent="0.25">
      <c r="A131" s="9"/>
      <c r="B131" s="8"/>
      <c r="C131" s="4"/>
      <c r="D131" s="15" t="s">
        <v>165</v>
      </c>
      <c r="E131" s="41" t="s">
        <v>139</v>
      </c>
      <c r="F131" s="41" t="s">
        <v>139</v>
      </c>
      <c r="G131" s="13" t="s">
        <v>149</v>
      </c>
      <c r="H131" s="41" t="s">
        <v>139</v>
      </c>
      <c r="I131" s="41" t="s">
        <v>139</v>
      </c>
      <c r="J131" s="13"/>
      <c r="L131" s="2"/>
    </row>
    <row r="132" spans="1:12" ht="31.5" x14ac:dyDescent="0.25">
      <c r="A132" s="9"/>
      <c r="B132" s="8"/>
      <c r="C132" s="4"/>
      <c r="D132" s="15" t="s">
        <v>168</v>
      </c>
      <c r="E132" s="41" t="s">
        <v>139</v>
      </c>
      <c r="F132" s="41">
        <f>0.5</f>
        <v>0.5</v>
      </c>
      <c r="G132" s="13" t="s">
        <v>143</v>
      </c>
      <c r="H132" s="41">
        <f>155.6/F132</f>
        <v>311.2</v>
      </c>
      <c r="I132" s="54">
        <f>F132*H132</f>
        <v>155.6</v>
      </c>
      <c r="J132" s="13" t="s">
        <v>118</v>
      </c>
      <c r="L132" s="2"/>
    </row>
    <row r="133" spans="1:12" ht="78.75" x14ac:dyDescent="0.25">
      <c r="A133" s="9"/>
      <c r="B133" s="8"/>
      <c r="C133" s="4"/>
      <c r="D133" s="15" t="s">
        <v>234</v>
      </c>
      <c r="E133" s="41" t="s">
        <v>139</v>
      </c>
      <c r="F133" s="41">
        <f>2</f>
        <v>2</v>
      </c>
      <c r="G133" s="13" t="s">
        <v>167</v>
      </c>
      <c r="H133" s="41">
        <f>44/F133</f>
        <v>22</v>
      </c>
      <c r="I133" s="54">
        <f>F133*H133</f>
        <v>44</v>
      </c>
      <c r="J133" s="13" t="s">
        <v>118</v>
      </c>
      <c r="L133" s="2"/>
    </row>
    <row r="134" spans="1:12" ht="47.25" x14ac:dyDescent="0.25">
      <c r="A134" s="9"/>
      <c r="B134" s="8"/>
      <c r="C134" s="4"/>
      <c r="D134" s="15" t="s">
        <v>169</v>
      </c>
      <c r="E134" s="41"/>
      <c r="F134" s="41">
        <f>0.5</f>
        <v>0.5</v>
      </c>
      <c r="G134" s="13" t="s">
        <v>29</v>
      </c>
      <c r="H134" s="41">
        <f>2453.8/F134</f>
        <v>4907.6000000000004</v>
      </c>
      <c r="I134" s="54">
        <f>F134*H134</f>
        <v>2453.8000000000002</v>
      </c>
      <c r="J134" s="13" t="s">
        <v>121</v>
      </c>
      <c r="L134" s="2"/>
    </row>
    <row r="135" spans="1:12" ht="31.5" x14ac:dyDescent="0.25">
      <c r="A135" s="9"/>
      <c r="B135" s="8"/>
      <c r="C135" s="4"/>
      <c r="D135" s="15" t="s">
        <v>178</v>
      </c>
      <c r="E135" s="41"/>
      <c r="F135" s="41"/>
      <c r="G135" s="13" t="s">
        <v>149</v>
      </c>
      <c r="H135" s="41"/>
      <c r="I135" s="41"/>
      <c r="J135" s="13"/>
      <c r="L135" s="2"/>
    </row>
    <row r="136" spans="1:12" ht="18.75" x14ac:dyDescent="0.25">
      <c r="A136" s="9"/>
      <c r="B136" s="8"/>
      <c r="C136" s="4"/>
      <c r="D136" s="15" t="s">
        <v>174</v>
      </c>
      <c r="E136" s="41"/>
      <c r="F136" s="41">
        <v>1</v>
      </c>
      <c r="G136" s="13" t="s">
        <v>148</v>
      </c>
      <c r="H136" s="41">
        <f>506.8</f>
        <v>506.8</v>
      </c>
      <c r="I136" s="54">
        <f>F136*H136</f>
        <v>506.8</v>
      </c>
      <c r="J136" s="13" t="s">
        <v>145</v>
      </c>
      <c r="L136" s="2"/>
    </row>
    <row r="137" spans="1:12" ht="31.5" x14ac:dyDescent="0.25">
      <c r="A137" s="9"/>
      <c r="B137" s="8"/>
      <c r="C137" s="4"/>
      <c r="D137" s="15" t="s">
        <v>175</v>
      </c>
      <c r="E137" s="41" t="s">
        <v>139</v>
      </c>
      <c r="F137" s="41" t="s">
        <v>139</v>
      </c>
      <c r="G137" s="13" t="s">
        <v>29</v>
      </c>
      <c r="H137" s="41" t="s">
        <v>139</v>
      </c>
      <c r="I137" s="41" t="s">
        <v>139</v>
      </c>
      <c r="J137" s="13"/>
      <c r="L137" s="2"/>
    </row>
    <row r="138" spans="1:12" ht="18.75" x14ac:dyDescent="0.25">
      <c r="A138" s="9" t="s">
        <v>82</v>
      </c>
      <c r="B138" s="8"/>
      <c r="C138" s="4"/>
      <c r="D138" s="15" t="s">
        <v>68</v>
      </c>
      <c r="E138" s="41" t="s">
        <v>139</v>
      </c>
      <c r="F138" s="41" t="s">
        <v>139</v>
      </c>
      <c r="G138" s="13" t="s">
        <v>53</v>
      </c>
      <c r="H138" s="41" t="s">
        <v>139</v>
      </c>
      <c r="I138" s="41" t="s">
        <v>139</v>
      </c>
      <c r="J138" s="13"/>
      <c r="L138" s="2"/>
    </row>
    <row r="139" spans="1:12" ht="18.75" x14ac:dyDescent="0.25">
      <c r="A139" s="9"/>
      <c r="B139" s="8"/>
      <c r="C139" s="4"/>
      <c r="D139" s="15" t="s">
        <v>232</v>
      </c>
      <c r="E139" s="41"/>
      <c r="F139" s="41">
        <f>5+1</f>
        <v>6</v>
      </c>
      <c r="G139" s="13" t="s">
        <v>30</v>
      </c>
      <c r="H139" s="45">
        <f>(6666.8+1383)/F139</f>
        <v>1341.6333333333334</v>
      </c>
      <c r="I139" s="54">
        <f>F139*H139</f>
        <v>8049.8000000000011</v>
      </c>
      <c r="J139" s="13" t="s">
        <v>121</v>
      </c>
      <c r="L139" s="2"/>
    </row>
    <row r="140" spans="1:12" ht="31.5" x14ac:dyDescent="0.25">
      <c r="A140" s="9" t="s">
        <v>20</v>
      </c>
      <c r="B140" s="8"/>
      <c r="C140" s="4"/>
      <c r="D140" s="15" t="s">
        <v>69</v>
      </c>
      <c r="E140" s="41" t="s">
        <v>139</v>
      </c>
      <c r="F140" s="41" t="s">
        <v>139</v>
      </c>
      <c r="G140" s="13" t="s">
        <v>142</v>
      </c>
      <c r="H140" s="41" t="s">
        <v>139</v>
      </c>
      <c r="I140" s="41" t="s">
        <v>139</v>
      </c>
      <c r="J140" s="13"/>
      <c r="L140" s="2"/>
    </row>
    <row r="141" spans="1:12" ht="18.75" x14ac:dyDescent="0.25">
      <c r="A141" s="47"/>
      <c r="B141" s="48"/>
      <c r="C141" s="22"/>
      <c r="D141" s="30"/>
      <c r="E141" s="46"/>
      <c r="F141" s="46"/>
      <c r="G141" s="31"/>
      <c r="H141" s="41"/>
      <c r="I141" s="45">
        <f>SUM(I129:I140)</f>
        <v>52323.466666666667</v>
      </c>
      <c r="J141" s="13"/>
      <c r="L141" s="2"/>
    </row>
    <row r="142" spans="1:12" ht="18.75" x14ac:dyDescent="0.3">
      <c r="A142" s="65" t="s">
        <v>71</v>
      </c>
      <c r="B142" s="66"/>
      <c r="C142" s="66"/>
      <c r="D142" s="66"/>
      <c r="E142" s="66"/>
      <c r="F142" s="66"/>
      <c r="G142" s="67"/>
      <c r="H142" s="13"/>
      <c r="I142" s="5"/>
      <c r="J142" s="13"/>
      <c r="L142" s="2"/>
    </row>
    <row r="143" spans="1:12" ht="37.5" x14ac:dyDescent="0.25">
      <c r="A143" s="9" t="s">
        <v>91</v>
      </c>
      <c r="B143" s="8"/>
      <c r="C143" s="4"/>
      <c r="D143" s="4" t="s">
        <v>128</v>
      </c>
      <c r="E143" s="31"/>
      <c r="F143" s="13">
        <f>30+20+15+10+30+20+20+25+20</f>
        <v>190</v>
      </c>
      <c r="G143" s="13" t="s">
        <v>115</v>
      </c>
      <c r="H143" s="33">
        <f>(18952+12634.8+9476+6458.4+19378.8+12920.4+13261.4+16577.4+13681.2)/F143/3</f>
        <v>216.38666666666663</v>
      </c>
      <c r="I143" s="33">
        <f t="shared" ref="I143" si="9">F143*H143</f>
        <v>41113.46666666666</v>
      </c>
      <c r="J143" s="13" t="s">
        <v>116</v>
      </c>
      <c r="L143" s="2"/>
    </row>
    <row r="144" spans="1:12" ht="18.75" x14ac:dyDescent="0.25">
      <c r="A144" s="9"/>
      <c r="B144" s="8"/>
      <c r="C144" s="4"/>
      <c r="D144" s="15" t="s">
        <v>174</v>
      </c>
      <c r="E144" s="41"/>
      <c r="F144" s="41" t="s">
        <v>139</v>
      </c>
      <c r="G144" s="13" t="s">
        <v>148</v>
      </c>
      <c r="H144" s="41" t="s">
        <v>139</v>
      </c>
      <c r="I144" s="41" t="s">
        <v>139</v>
      </c>
      <c r="J144" s="13"/>
      <c r="L144" s="2"/>
    </row>
    <row r="145" spans="1:12" ht="18.75" x14ac:dyDescent="0.25">
      <c r="A145" s="9"/>
      <c r="B145" s="8"/>
      <c r="C145" s="4"/>
      <c r="D145" s="15" t="s">
        <v>163</v>
      </c>
      <c r="E145" s="41"/>
      <c r="F145" s="41"/>
      <c r="G145" s="13" t="s">
        <v>148</v>
      </c>
      <c r="H145" s="41"/>
      <c r="I145" s="41"/>
      <c r="J145" s="13"/>
      <c r="L145" s="2"/>
    </row>
    <row r="146" spans="1:12" ht="18.75" x14ac:dyDescent="0.25">
      <c r="A146" s="9" t="s">
        <v>82</v>
      </c>
      <c r="B146" s="8"/>
      <c r="C146" s="4"/>
      <c r="D146" s="15" t="s">
        <v>68</v>
      </c>
      <c r="E146" s="41"/>
      <c r="F146" s="41"/>
      <c r="G146" s="14" t="s">
        <v>53</v>
      </c>
      <c r="H146" s="41" t="s">
        <v>139</v>
      </c>
      <c r="I146" s="41" t="s">
        <v>139</v>
      </c>
      <c r="J146" s="13"/>
      <c r="L146" s="2"/>
    </row>
    <row r="147" spans="1:12" ht="18.75" x14ac:dyDescent="0.25">
      <c r="A147" s="9"/>
      <c r="B147" s="8"/>
      <c r="C147" s="4"/>
      <c r="D147" s="15" t="s">
        <v>210</v>
      </c>
      <c r="E147" s="41"/>
      <c r="F147" s="41">
        <v>1</v>
      </c>
      <c r="G147" s="13" t="s">
        <v>30</v>
      </c>
      <c r="H147" s="41">
        <f>22393.8/F147</f>
        <v>22393.8</v>
      </c>
      <c r="I147" s="54">
        <f>F147*H147</f>
        <v>22393.8</v>
      </c>
      <c r="J147" s="13" t="s">
        <v>145</v>
      </c>
      <c r="L147" s="2"/>
    </row>
    <row r="148" spans="1:12" ht="18.75" x14ac:dyDescent="0.25">
      <c r="A148" s="9"/>
      <c r="B148" s="8"/>
      <c r="C148" s="4"/>
      <c r="D148" s="15" t="s">
        <v>273</v>
      </c>
      <c r="E148" s="41"/>
      <c r="F148" s="41">
        <f>2</f>
        <v>2</v>
      </c>
      <c r="G148" s="13" t="s">
        <v>30</v>
      </c>
      <c r="H148" s="41">
        <f>2023.8/F148</f>
        <v>1011.9</v>
      </c>
      <c r="I148" s="54">
        <f>F148*H148</f>
        <v>2023.8</v>
      </c>
      <c r="J148" s="13" t="s">
        <v>118</v>
      </c>
      <c r="L148" s="2"/>
    </row>
    <row r="149" spans="1:12" ht="31.5" x14ac:dyDescent="0.25">
      <c r="A149" s="9" t="s">
        <v>20</v>
      </c>
      <c r="B149" s="8"/>
      <c r="C149" s="4"/>
      <c r="D149" s="15" t="s">
        <v>69</v>
      </c>
      <c r="E149" s="41" t="s">
        <v>139</v>
      </c>
      <c r="F149" s="41" t="s">
        <v>139</v>
      </c>
      <c r="G149" s="14" t="s">
        <v>53</v>
      </c>
      <c r="H149" s="41" t="s">
        <v>139</v>
      </c>
      <c r="I149" s="41" t="s">
        <v>139</v>
      </c>
      <c r="J149" s="13"/>
      <c r="L149" s="2"/>
    </row>
    <row r="150" spans="1:12" ht="18.75" x14ac:dyDescent="0.25">
      <c r="A150" s="47"/>
      <c r="B150" s="48"/>
      <c r="C150" s="22"/>
      <c r="D150" s="30"/>
      <c r="E150" s="46"/>
      <c r="F150" s="46"/>
      <c r="G150" s="12"/>
      <c r="H150" s="41"/>
      <c r="I150" s="45">
        <f>SUM(I143:I149)</f>
        <v>65531.066666666666</v>
      </c>
      <c r="J150" s="13"/>
      <c r="L150" s="2"/>
    </row>
    <row r="151" spans="1:12" ht="18.75" x14ac:dyDescent="0.3">
      <c r="A151" s="65" t="s">
        <v>72</v>
      </c>
      <c r="B151" s="66"/>
      <c r="C151" s="66"/>
      <c r="D151" s="66"/>
      <c r="E151" s="66"/>
      <c r="F151" s="66"/>
      <c r="G151" s="67"/>
      <c r="H151" s="19"/>
      <c r="I151" s="5"/>
      <c r="J151" s="13"/>
      <c r="L151" s="2"/>
    </row>
    <row r="152" spans="1:12" ht="37.5" x14ac:dyDescent="0.25">
      <c r="A152" s="9" t="s">
        <v>97</v>
      </c>
      <c r="B152" s="8"/>
      <c r="C152" s="4"/>
      <c r="D152" s="4" t="s">
        <v>129</v>
      </c>
      <c r="E152" s="31"/>
      <c r="F152" s="13">
        <f>30+20+15+10+30+20+20+25+20</f>
        <v>190</v>
      </c>
      <c r="G152" s="13" t="s">
        <v>115</v>
      </c>
      <c r="H152" s="33">
        <f>(18952+12634.8+9476+6458.4+19378.8+12920.4+13261.4+16577.4+13681.2)/F152/3</f>
        <v>216.38666666666663</v>
      </c>
      <c r="I152" s="33">
        <f t="shared" ref="I152:I158" si="10">F152*H152</f>
        <v>41113.46666666666</v>
      </c>
      <c r="J152" s="13" t="s">
        <v>116</v>
      </c>
      <c r="L152" s="2"/>
    </row>
    <row r="153" spans="1:12" ht="31.5" x14ac:dyDescent="0.25">
      <c r="A153" s="9"/>
      <c r="B153" s="8"/>
      <c r="C153" s="4"/>
      <c r="D153" s="15" t="s">
        <v>189</v>
      </c>
      <c r="E153" s="41"/>
      <c r="F153" s="41">
        <f>1.5</f>
        <v>1.5</v>
      </c>
      <c r="G153" s="13" t="s">
        <v>29</v>
      </c>
      <c r="H153" s="45">
        <f>7853.2/F153</f>
        <v>5235.4666666666662</v>
      </c>
      <c r="I153" s="54">
        <f t="shared" si="10"/>
        <v>7853.1999999999989</v>
      </c>
      <c r="J153" s="13" t="s">
        <v>121</v>
      </c>
      <c r="L153" s="2"/>
    </row>
    <row r="154" spans="1:12" ht="31.5" x14ac:dyDescent="0.25">
      <c r="A154" s="9"/>
      <c r="B154" s="8"/>
      <c r="C154" s="4"/>
      <c r="D154" s="15" t="s">
        <v>200</v>
      </c>
      <c r="E154" s="41"/>
      <c r="F154" s="41">
        <f>1+1.5+2+2.5</f>
        <v>7</v>
      </c>
      <c r="G154" s="13" t="s">
        <v>29</v>
      </c>
      <c r="H154" s="45">
        <f>(1212.4+1871.6+2495.6+3178.8)/F154</f>
        <v>1251.2000000000003</v>
      </c>
      <c r="I154" s="54">
        <f t="shared" si="10"/>
        <v>8758.4000000000015</v>
      </c>
      <c r="J154" s="13" t="s">
        <v>121</v>
      </c>
      <c r="L154" s="2"/>
    </row>
    <row r="155" spans="1:12" ht="31.5" x14ac:dyDescent="0.25">
      <c r="A155" s="9"/>
      <c r="B155" s="8"/>
      <c r="C155" s="4"/>
      <c r="D155" s="15" t="s">
        <v>201</v>
      </c>
      <c r="E155" s="41"/>
      <c r="F155" s="41"/>
      <c r="G155" s="13" t="s">
        <v>29</v>
      </c>
      <c r="H155" s="41"/>
      <c r="I155" s="41"/>
      <c r="J155" s="13"/>
      <c r="L155" s="2"/>
    </row>
    <row r="156" spans="1:12" ht="18.75" x14ac:dyDescent="0.25">
      <c r="A156" s="9"/>
      <c r="B156" s="8"/>
      <c r="C156" s="4"/>
      <c r="D156" s="4" t="s">
        <v>114</v>
      </c>
      <c r="E156" s="41"/>
      <c r="F156" s="41">
        <f>20+10+15+10+10+15+10+10+10+10</f>
        <v>120</v>
      </c>
      <c r="G156" s="13" t="s">
        <v>29</v>
      </c>
      <c r="H156" s="45">
        <f>(6020.8+3010.8+4615.8+3077.4+3165.8+4746.6+3165.8+3261.6+3261.6+3261.6)/F156</f>
        <v>313.23166666666668</v>
      </c>
      <c r="I156" s="41">
        <f t="shared" si="10"/>
        <v>37587.800000000003</v>
      </c>
      <c r="J156" s="13" t="s">
        <v>116</v>
      </c>
      <c r="L156" s="2"/>
    </row>
    <row r="157" spans="1:12" ht="18.75" x14ac:dyDescent="0.25">
      <c r="A157" s="9"/>
      <c r="B157" s="8"/>
      <c r="C157" s="4"/>
      <c r="D157" s="4" t="s">
        <v>151</v>
      </c>
      <c r="E157" s="41"/>
      <c r="F157" s="41"/>
      <c r="G157" s="13" t="s">
        <v>29</v>
      </c>
      <c r="H157" s="41"/>
      <c r="I157" s="41"/>
      <c r="J157" s="13"/>
      <c r="L157" s="2"/>
    </row>
    <row r="158" spans="1:12" ht="18.75" x14ac:dyDescent="0.25">
      <c r="A158" s="9"/>
      <c r="B158" s="8"/>
      <c r="C158" s="4"/>
      <c r="D158" s="4" t="s">
        <v>172</v>
      </c>
      <c r="E158" s="41"/>
      <c r="F158" s="41">
        <f>3+1</f>
        <v>4</v>
      </c>
      <c r="G158" s="13" t="s">
        <v>136</v>
      </c>
      <c r="H158" s="41">
        <f>(177+63.2)/F158</f>
        <v>60.05</v>
      </c>
      <c r="I158" s="41">
        <f t="shared" si="10"/>
        <v>240.2</v>
      </c>
      <c r="J158" s="13" t="s">
        <v>116</v>
      </c>
      <c r="L158" s="2"/>
    </row>
    <row r="159" spans="1:12" ht="18.75" x14ac:dyDescent="0.25">
      <c r="A159" s="9"/>
      <c r="B159" s="8"/>
      <c r="C159" s="4"/>
      <c r="D159" s="4" t="s">
        <v>173</v>
      </c>
      <c r="E159" s="41" t="s">
        <v>139</v>
      </c>
      <c r="F159" s="41" t="s">
        <v>139</v>
      </c>
      <c r="G159" s="13" t="s">
        <v>136</v>
      </c>
      <c r="H159" s="41" t="s">
        <v>139</v>
      </c>
      <c r="I159" s="41" t="s">
        <v>139</v>
      </c>
      <c r="J159" s="13"/>
      <c r="L159" s="2"/>
    </row>
    <row r="160" spans="1:12" ht="18.75" x14ac:dyDescent="0.25">
      <c r="A160" s="9"/>
      <c r="B160" s="8"/>
      <c r="C160" s="4"/>
      <c r="D160" s="4" t="s">
        <v>182</v>
      </c>
      <c r="E160" s="41" t="s">
        <v>139</v>
      </c>
      <c r="F160" s="41" t="s">
        <v>139</v>
      </c>
      <c r="G160" s="13" t="s">
        <v>30</v>
      </c>
      <c r="H160" s="41" t="s">
        <v>139</v>
      </c>
      <c r="I160" s="41" t="s">
        <v>139</v>
      </c>
      <c r="J160" s="13"/>
      <c r="L160" s="2"/>
    </row>
    <row r="161" spans="1:12" ht="18.75" x14ac:dyDescent="0.25">
      <c r="A161" s="9" t="s">
        <v>21</v>
      </c>
      <c r="B161" s="8"/>
      <c r="C161" s="4"/>
      <c r="D161" s="4" t="s">
        <v>75</v>
      </c>
      <c r="E161" s="41" t="s">
        <v>139</v>
      </c>
      <c r="F161" s="41" t="s">
        <v>139</v>
      </c>
      <c r="G161" s="13" t="s">
        <v>29</v>
      </c>
      <c r="H161" s="41" t="s">
        <v>139</v>
      </c>
      <c r="I161" s="41" t="s">
        <v>139</v>
      </c>
      <c r="J161" s="13"/>
      <c r="L161" s="2"/>
    </row>
    <row r="162" spans="1:12" ht="18.75" x14ac:dyDescent="0.25">
      <c r="A162" s="47"/>
      <c r="B162" s="48"/>
      <c r="C162" s="22"/>
      <c r="D162" s="22"/>
      <c r="E162" s="46"/>
      <c r="F162" s="46"/>
      <c r="G162" s="31"/>
      <c r="H162" s="41"/>
      <c r="I162" s="45">
        <f>SUM(I152:I161)</f>
        <v>95553.066666666666</v>
      </c>
      <c r="J162" s="13"/>
      <c r="L162" s="2"/>
    </row>
    <row r="163" spans="1:12" ht="18.75" x14ac:dyDescent="0.3">
      <c r="A163" s="65" t="s">
        <v>77</v>
      </c>
      <c r="B163" s="66"/>
      <c r="C163" s="66"/>
      <c r="D163" s="66"/>
      <c r="E163" s="66"/>
      <c r="F163" s="66"/>
      <c r="G163" s="67"/>
      <c r="H163" s="5"/>
      <c r="I163" s="5"/>
      <c r="J163" s="13"/>
      <c r="L163" s="2"/>
    </row>
    <row r="164" spans="1:12" ht="38.25" customHeight="1" x14ac:dyDescent="0.25">
      <c r="A164" s="9" t="s">
        <v>22</v>
      </c>
      <c r="B164" s="5"/>
      <c r="C164" s="4"/>
      <c r="D164" s="15" t="s">
        <v>140</v>
      </c>
      <c r="E164" s="41" t="s">
        <v>139</v>
      </c>
      <c r="F164" s="41" t="s">
        <v>139</v>
      </c>
      <c r="G164" s="13" t="s">
        <v>53</v>
      </c>
      <c r="H164" s="41" t="s">
        <v>139</v>
      </c>
      <c r="I164" s="41" t="s">
        <v>139</v>
      </c>
      <c r="J164" s="13"/>
      <c r="L164" s="2"/>
    </row>
    <row r="165" spans="1:12" ht="38.25" customHeight="1" x14ac:dyDescent="0.25">
      <c r="A165" s="9"/>
      <c r="B165" s="5"/>
      <c r="C165" s="4"/>
      <c r="D165" s="15" t="s">
        <v>160</v>
      </c>
      <c r="E165" s="41" t="s">
        <v>139</v>
      </c>
      <c r="F165" s="41" t="s">
        <v>139</v>
      </c>
      <c r="G165" s="13" t="s">
        <v>30</v>
      </c>
      <c r="H165" s="41" t="s">
        <v>139</v>
      </c>
      <c r="I165" s="41" t="s">
        <v>139</v>
      </c>
      <c r="J165" s="13"/>
      <c r="L165" s="2"/>
    </row>
    <row r="166" spans="1:12" ht="18.75" x14ac:dyDescent="0.25">
      <c r="A166" s="9" t="s">
        <v>23</v>
      </c>
      <c r="B166" s="5"/>
      <c r="C166" s="4"/>
      <c r="D166" s="4" t="s">
        <v>76</v>
      </c>
      <c r="E166" s="41" t="s">
        <v>139</v>
      </c>
      <c r="F166" s="41" t="s">
        <v>139</v>
      </c>
      <c r="G166" s="13" t="s">
        <v>53</v>
      </c>
      <c r="H166" s="41" t="s">
        <v>139</v>
      </c>
      <c r="I166" s="41" t="s">
        <v>139</v>
      </c>
      <c r="J166" s="13"/>
      <c r="L166" s="2"/>
    </row>
    <row r="167" spans="1:12" ht="31.5" x14ac:dyDescent="0.25">
      <c r="A167" s="9"/>
      <c r="B167" s="5"/>
      <c r="C167" s="4"/>
      <c r="D167" s="15" t="s">
        <v>243</v>
      </c>
      <c r="E167" s="41"/>
      <c r="F167" s="41">
        <f>11</f>
        <v>11</v>
      </c>
      <c r="G167" s="13" t="s">
        <v>30</v>
      </c>
      <c r="H167" s="45">
        <f>13857.2/F167</f>
        <v>1259.7454545454545</v>
      </c>
      <c r="I167" s="54">
        <f>F167*H167</f>
        <v>13857.2</v>
      </c>
      <c r="J167" s="13"/>
      <c r="L167" s="2"/>
    </row>
    <row r="168" spans="1:12" ht="47.25" x14ac:dyDescent="0.25">
      <c r="A168" s="9"/>
      <c r="B168" s="5"/>
      <c r="C168" s="4"/>
      <c r="D168" s="15" t="s">
        <v>261</v>
      </c>
      <c r="E168" s="41"/>
      <c r="F168" s="41">
        <f>23.16</f>
        <v>23.16</v>
      </c>
      <c r="G168" s="13" t="s">
        <v>113</v>
      </c>
      <c r="H168" s="45">
        <f>16866.6/F168</f>
        <v>728.26424870466315</v>
      </c>
      <c r="I168" s="54">
        <f>F168*H168</f>
        <v>16866.599999999999</v>
      </c>
      <c r="J168" s="13" t="s">
        <v>118</v>
      </c>
      <c r="L168" s="2"/>
    </row>
    <row r="169" spans="1:12" ht="31.5" x14ac:dyDescent="0.25">
      <c r="A169" s="9" t="s">
        <v>125</v>
      </c>
      <c r="B169" s="5"/>
      <c r="C169" s="4"/>
      <c r="D169" s="15" t="s">
        <v>192</v>
      </c>
      <c r="E169" s="41"/>
      <c r="F169" s="41"/>
      <c r="G169" s="13" t="s">
        <v>53</v>
      </c>
      <c r="H169" s="41"/>
      <c r="I169" s="45"/>
      <c r="J169" s="13"/>
      <c r="L169" s="2"/>
    </row>
    <row r="170" spans="1:12" ht="18.75" x14ac:dyDescent="0.25">
      <c r="A170" s="9"/>
      <c r="B170" s="5"/>
      <c r="C170" s="4"/>
      <c r="D170" s="15" t="s">
        <v>161</v>
      </c>
      <c r="E170" s="41"/>
      <c r="F170" s="41"/>
      <c r="G170" s="13" t="s">
        <v>143</v>
      </c>
      <c r="H170" s="41"/>
      <c r="I170" s="41"/>
      <c r="J170" s="13"/>
      <c r="L170" s="2"/>
    </row>
    <row r="171" spans="1:12" ht="31.5" x14ac:dyDescent="0.25">
      <c r="A171" s="9"/>
      <c r="B171" s="5"/>
      <c r="C171" s="4"/>
      <c r="D171" s="15" t="s">
        <v>126</v>
      </c>
      <c r="E171" s="41"/>
      <c r="F171" s="41">
        <v>3</v>
      </c>
      <c r="G171" s="13" t="s">
        <v>30</v>
      </c>
      <c r="H171" s="45">
        <f>(5030.8)/F171</f>
        <v>1676.9333333333334</v>
      </c>
      <c r="I171" s="54">
        <f t="shared" ref="I169:I179" si="11">F171*H171</f>
        <v>5030.8</v>
      </c>
      <c r="J171" s="13" t="s">
        <v>145</v>
      </c>
      <c r="L171" s="2"/>
    </row>
    <row r="172" spans="1:12" ht="31.5" x14ac:dyDescent="0.25">
      <c r="A172" s="9"/>
      <c r="B172" s="5"/>
      <c r="C172" s="4"/>
      <c r="D172" s="15" t="s">
        <v>126</v>
      </c>
      <c r="E172" s="41"/>
      <c r="F172" s="41">
        <f>1+1+3+1</f>
        <v>6</v>
      </c>
      <c r="G172" s="13" t="s">
        <v>30</v>
      </c>
      <c r="H172" s="45">
        <f>(1655.8+1676.4+1699.8+1699.8)/F172</f>
        <v>1121.9666666666667</v>
      </c>
      <c r="I172" s="61">
        <f t="shared" ref="I172" si="12">F172*H172</f>
        <v>6731.8</v>
      </c>
      <c r="J172" s="13" t="s">
        <v>145</v>
      </c>
      <c r="L172" s="2"/>
    </row>
    <row r="173" spans="1:12" ht="18.75" x14ac:dyDescent="0.25">
      <c r="A173" s="9"/>
      <c r="B173" s="5"/>
      <c r="C173" s="4"/>
      <c r="D173" s="15" t="s">
        <v>170</v>
      </c>
      <c r="E173" s="41"/>
      <c r="F173" s="41">
        <f>11+8+1+13+11</f>
        <v>44</v>
      </c>
      <c r="G173" s="13" t="s">
        <v>53</v>
      </c>
      <c r="H173" s="45">
        <f>(782+579+72.8+990.8+838.2)/F173</f>
        <v>74.154545454545456</v>
      </c>
      <c r="I173" s="41">
        <f t="shared" ref="I173:I174" si="13">F173*H173</f>
        <v>3262.8</v>
      </c>
      <c r="J173" s="13" t="s">
        <v>116</v>
      </c>
      <c r="L173" s="2"/>
    </row>
    <row r="174" spans="1:12" ht="18.75" x14ac:dyDescent="0.25">
      <c r="A174" s="9"/>
      <c r="B174" s="5"/>
      <c r="C174" s="4"/>
      <c r="D174" s="15" t="s">
        <v>220</v>
      </c>
      <c r="E174" s="41"/>
      <c r="F174" s="41">
        <f>10+7+7</f>
        <v>24</v>
      </c>
      <c r="G174" s="13" t="s">
        <v>143</v>
      </c>
      <c r="H174" s="45">
        <f>(2339.8+3991+1651.4)/F174</f>
        <v>332.5916666666667</v>
      </c>
      <c r="I174" s="54">
        <f t="shared" si="13"/>
        <v>7982.2000000000007</v>
      </c>
      <c r="J174" s="13"/>
      <c r="L174" s="2"/>
    </row>
    <row r="175" spans="1:12" ht="18.75" x14ac:dyDescent="0.25">
      <c r="A175" s="9"/>
      <c r="B175" s="5"/>
      <c r="C175" s="4"/>
      <c r="D175" s="15" t="s">
        <v>213</v>
      </c>
      <c r="E175" s="41"/>
      <c r="F175" s="41">
        <f>2+2</f>
        <v>4</v>
      </c>
      <c r="G175" s="13" t="s">
        <v>143</v>
      </c>
      <c r="H175" s="41">
        <f>(1068.4+922)/F175</f>
        <v>497.6</v>
      </c>
      <c r="I175" s="54">
        <f t="shared" si="11"/>
        <v>1990.4</v>
      </c>
      <c r="J175" s="13" t="s">
        <v>145</v>
      </c>
      <c r="L175" s="2"/>
    </row>
    <row r="176" spans="1:12" ht="18.75" x14ac:dyDescent="0.25">
      <c r="A176" s="9"/>
      <c r="B176" s="5"/>
      <c r="C176" s="4"/>
      <c r="D176" s="15" t="s">
        <v>106</v>
      </c>
      <c r="E176" s="41"/>
      <c r="F176" s="41">
        <f>7+4+2+2+7+4+5+5+11+7+10</f>
        <v>64</v>
      </c>
      <c r="G176" s="13" t="s">
        <v>53</v>
      </c>
      <c r="H176" s="45">
        <f>(1174+672.4+337.8+337.8+1184+683.8+855.6+855.6+1902.6+1211.6+1730.6)/F176</f>
        <v>171.02812500000002</v>
      </c>
      <c r="I176" s="41">
        <f t="shared" si="11"/>
        <v>10945.800000000001</v>
      </c>
      <c r="J176" s="13" t="s">
        <v>116</v>
      </c>
      <c r="L176" s="2"/>
    </row>
    <row r="177" spans="1:12" ht="18.75" x14ac:dyDescent="0.25">
      <c r="A177" s="9"/>
      <c r="B177" s="5"/>
      <c r="C177" s="4"/>
      <c r="D177" s="15" t="s">
        <v>185</v>
      </c>
      <c r="E177" s="41"/>
      <c r="F177" s="41"/>
      <c r="G177" s="13" t="s">
        <v>30</v>
      </c>
      <c r="H177" s="41"/>
      <c r="I177" s="41"/>
      <c r="J177" s="13"/>
      <c r="L177" s="2"/>
    </row>
    <row r="178" spans="1:12" ht="18.75" x14ac:dyDescent="0.25">
      <c r="A178" s="9"/>
      <c r="B178" s="5"/>
      <c r="C178" s="4"/>
      <c r="D178" s="15" t="s">
        <v>218</v>
      </c>
      <c r="E178" s="41"/>
      <c r="F178" s="41">
        <f>1+1</f>
        <v>2</v>
      </c>
      <c r="G178" s="13" t="s">
        <v>30</v>
      </c>
      <c r="H178" s="41">
        <f>(963+963)/F178</f>
        <v>963</v>
      </c>
      <c r="I178" s="41">
        <f t="shared" si="11"/>
        <v>1926</v>
      </c>
      <c r="J178" s="13" t="s">
        <v>121</v>
      </c>
      <c r="L178" s="2"/>
    </row>
    <row r="179" spans="1:12" ht="56.25" x14ac:dyDescent="0.25">
      <c r="A179" s="9" t="s">
        <v>107</v>
      </c>
      <c r="B179" s="5"/>
      <c r="C179" s="4"/>
      <c r="D179" s="15" t="s">
        <v>123</v>
      </c>
      <c r="E179" s="32"/>
      <c r="F179" s="13">
        <f>27+27+27+27+27+27+27+27+27+27+27+27</f>
        <v>324</v>
      </c>
      <c r="G179" s="13" t="s">
        <v>108</v>
      </c>
      <c r="H179" s="33">
        <f>(1066+1066+1066+1090.2+1090.2+1090.2+1118.8+1118.8+1118.8+1152.6+1152.6+1152.6)/F179</f>
        <v>40.996296296296293</v>
      </c>
      <c r="I179" s="13">
        <f t="shared" si="11"/>
        <v>13282.8</v>
      </c>
      <c r="J179" s="13" t="s">
        <v>116</v>
      </c>
      <c r="L179" s="2"/>
    </row>
    <row r="180" spans="1:12" ht="18.75" x14ac:dyDescent="0.25">
      <c r="A180" s="47"/>
      <c r="B180" s="22"/>
      <c r="C180" s="22"/>
      <c r="D180" s="30"/>
      <c r="E180" s="49"/>
      <c r="F180" s="50"/>
      <c r="G180" s="31"/>
      <c r="H180" s="31"/>
      <c r="I180" s="33">
        <f>SUM(I167:I179)</f>
        <v>81876.400000000009</v>
      </c>
      <c r="J180" s="13"/>
      <c r="L180" s="2"/>
    </row>
    <row r="181" spans="1:12" ht="18.75" x14ac:dyDescent="0.25">
      <c r="A181" s="72" t="s">
        <v>90</v>
      </c>
      <c r="B181" s="73"/>
      <c r="C181" s="73"/>
      <c r="D181" s="73"/>
      <c r="E181" s="73"/>
      <c r="F181" s="73"/>
      <c r="G181" s="74"/>
      <c r="H181" s="12"/>
      <c r="I181" s="5"/>
      <c r="J181" s="13"/>
      <c r="L181" s="2"/>
    </row>
    <row r="182" spans="1:12" ht="18.75" x14ac:dyDescent="0.25">
      <c r="A182" s="26"/>
      <c r="B182" s="27"/>
      <c r="C182" s="27"/>
      <c r="D182" s="36" t="s">
        <v>117</v>
      </c>
      <c r="E182" s="41"/>
      <c r="F182" s="41">
        <f>2+3</f>
        <v>5</v>
      </c>
      <c r="G182" s="38" t="s">
        <v>30</v>
      </c>
      <c r="H182" s="41">
        <f>(2422.2+3778.8)/F182</f>
        <v>1240.2</v>
      </c>
      <c r="I182" s="41">
        <f>F182*H182</f>
        <v>6201</v>
      </c>
      <c r="J182" s="13" t="s">
        <v>145</v>
      </c>
      <c r="L182" s="2"/>
    </row>
    <row r="183" spans="1:12" ht="63" x14ac:dyDescent="0.25">
      <c r="A183" s="9" t="s">
        <v>88</v>
      </c>
      <c r="B183" s="22"/>
      <c r="C183" s="22"/>
      <c r="D183" s="23" t="s">
        <v>119</v>
      </c>
      <c r="E183" s="37">
        <v>884</v>
      </c>
      <c r="F183" s="13">
        <v>884</v>
      </c>
      <c r="G183" s="31" t="s">
        <v>89</v>
      </c>
      <c r="H183" s="31">
        <v>4.8</v>
      </c>
      <c r="I183" s="13">
        <f>F183*H183*12</f>
        <v>50918.399999999994</v>
      </c>
      <c r="J183" s="13" t="s">
        <v>116</v>
      </c>
      <c r="L183" s="2"/>
    </row>
    <row r="184" spans="1:12" ht="18.75" x14ac:dyDescent="0.25">
      <c r="A184" s="47"/>
      <c r="B184" s="22"/>
      <c r="C184" s="22"/>
      <c r="D184" s="30"/>
      <c r="E184" s="49"/>
      <c r="F184" s="50"/>
      <c r="G184" s="31"/>
      <c r="H184" s="31"/>
      <c r="I184" s="13">
        <f>SUM(I182:I183)</f>
        <v>57119.399999999994</v>
      </c>
      <c r="J184" s="13"/>
      <c r="L184" s="2"/>
    </row>
    <row r="185" spans="1:12" ht="18.75" x14ac:dyDescent="0.3">
      <c r="A185" s="65" t="s">
        <v>78</v>
      </c>
      <c r="B185" s="66"/>
      <c r="C185" s="66"/>
      <c r="D185" s="66"/>
      <c r="E185" s="66"/>
      <c r="F185" s="66"/>
      <c r="G185" s="67"/>
      <c r="H185" s="19"/>
      <c r="I185" s="5"/>
      <c r="J185" s="13"/>
      <c r="L185" s="2"/>
    </row>
    <row r="186" spans="1:12" ht="46.5" customHeight="1" x14ac:dyDescent="0.3">
      <c r="A186" s="34" t="s">
        <v>131</v>
      </c>
      <c r="B186" s="24"/>
      <c r="C186" s="24"/>
      <c r="D186" s="35" t="s">
        <v>130</v>
      </c>
      <c r="E186" s="13">
        <v>240</v>
      </c>
      <c r="F186" s="13">
        <v>240</v>
      </c>
      <c r="G186" s="13" t="s">
        <v>138</v>
      </c>
      <c r="H186" s="13">
        <v>13</v>
      </c>
      <c r="I186" s="13">
        <f>F186*H186*3</f>
        <v>9360</v>
      </c>
      <c r="J186" s="13" t="s">
        <v>146</v>
      </c>
      <c r="L186" s="2"/>
    </row>
    <row r="187" spans="1:12" ht="18.75" x14ac:dyDescent="0.25">
      <c r="A187" s="9" t="s">
        <v>24</v>
      </c>
      <c r="B187" s="5"/>
      <c r="C187" s="4"/>
      <c r="D187" s="4" t="s">
        <v>74</v>
      </c>
      <c r="E187" s="41" t="s">
        <v>139</v>
      </c>
      <c r="F187" s="41" t="s">
        <v>139</v>
      </c>
      <c r="G187" s="14" t="s">
        <v>53</v>
      </c>
      <c r="H187" s="41" t="s">
        <v>139</v>
      </c>
      <c r="I187" s="41" t="s">
        <v>139</v>
      </c>
      <c r="J187" s="13"/>
      <c r="L187" s="2"/>
    </row>
    <row r="188" spans="1:12" ht="47.25" x14ac:dyDescent="0.25">
      <c r="A188" s="9" t="s">
        <v>25</v>
      </c>
      <c r="B188" s="5"/>
      <c r="C188" s="4"/>
      <c r="D188" s="15" t="s">
        <v>27</v>
      </c>
      <c r="E188" s="41" t="s">
        <v>139</v>
      </c>
      <c r="F188" s="41" t="s">
        <v>139</v>
      </c>
      <c r="G188" s="14" t="s">
        <v>53</v>
      </c>
      <c r="H188" s="41" t="s">
        <v>139</v>
      </c>
      <c r="I188" s="41" t="s">
        <v>139</v>
      </c>
      <c r="J188" s="13"/>
      <c r="L188" s="2"/>
    </row>
    <row r="189" spans="1:12" ht="18.75" x14ac:dyDescent="0.25">
      <c r="A189" s="9"/>
      <c r="B189" s="5"/>
      <c r="C189" s="4"/>
      <c r="D189" s="15" t="s">
        <v>230</v>
      </c>
      <c r="E189" s="41"/>
      <c r="F189" s="41">
        <f>6.11</f>
        <v>6.11</v>
      </c>
      <c r="G189" s="14" t="s">
        <v>231</v>
      </c>
      <c r="H189" s="45">
        <f>1668.2/F189</f>
        <v>273.02782324058921</v>
      </c>
      <c r="I189" s="54">
        <f>F189*H189</f>
        <v>1668.2000000000003</v>
      </c>
      <c r="J189" s="13" t="s">
        <v>121</v>
      </c>
      <c r="L189" s="2"/>
    </row>
    <row r="190" spans="1:12" ht="31.5" x14ac:dyDescent="0.25">
      <c r="A190" s="9" t="s">
        <v>26</v>
      </c>
      <c r="B190" s="5"/>
      <c r="C190" s="4"/>
      <c r="D190" s="15" t="s">
        <v>73</v>
      </c>
      <c r="E190" s="41" t="s">
        <v>139</v>
      </c>
      <c r="F190" s="41" t="s">
        <v>139</v>
      </c>
      <c r="G190" s="14" t="s">
        <v>53</v>
      </c>
      <c r="H190" s="41" t="s">
        <v>139</v>
      </c>
      <c r="I190" s="41" t="s">
        <v>139</v>
      </c>
      <c r="J190" s="13"/>
      <c r="L190" s="2"/>
    </row>
    <row r="191" spans="1:12" ht="18.75" x14ac:dyDescent="0.25">
      <c r="A191" s="47"/>
      <c r="B191" s="22"/>
      <c r="C191" s="22"/>
      <c r="D191" s="30"/>
      <c r="E191" s="46"/>
      <c r="F191" s="46"/>
      <c r="G191" s="12"/>
      <c r="H191" s="51"/>
      <c r="I191" s="51">
        <f>SUM(I186:I190)</f>
        <v>11028.2</v>
      </c>
      <c r="J191" s="52"/>
      <c r="L191" s="2"/>
    </row>
    <row r="192" spans="1:12" ht="18.75" x14ac:dyDescent="0.3">
      <c r="A192" s="65" t="s">
        <v>83</v>
      </c>
      <c r="B192" s="66"/>
      <c r="C192" s="66"/>
      <c r="D192" s="66"/>
      <c r="E192" s="66"/>
      <c r="F192" s="66"/>
      <c r="G192" s="67"/>
      <c r="H192" s="2"/>
      <c r="I192" s="2"/>
      <c r="J192" s="2"/>
      <c r="K192" s="2"/>
      <c r="L192" s="2"/>
    </row>
    <row r="193" spans="1:12" ht="48" x14ac:dyDescent="0.3">
      <c r="A193" s="6" t="s">
        <v>65</v>
      </c>
      <c r="B193" s="6"/>
      <c r="C193" s="4"/>
      <c r="D193" s="15" t="s">
        <v>84</v>
      </c>
      <c r="E193" s="41" t="s">
        <v>139</v>
      </c>
      <c r="F193" s="41" t="s">
        <v>139</v>
      </c>
      <c r="G193" s="13" t="s">
        <v>29</v>
      </c>
      <c r="H193" s="41" t="s">
        <v>139</v>
      </c>
      <c r="I193" s="41" t="s">
        <v>139</v>
      </c>
      <c r="J193" s="5"/>
      <c r="L193" s="2"/>
    </row>
    <row r="194" spans="1:12" ht="32.25" x14ac:dyDescent="0.3">
      <c r="A194" s="28"/>
      <c r="B194" s="29"/>
      <c r="C194" s="22"/>
      <c r="D194" s="30" t="s">
        <v>109</v>
      </c>
      <c r="E194" s="44" t="s">
        <v>139</v>
      </c>
      <c r="F194" s="41" t="s">
        <v>139</v>
      </c>
      <c r="G194" s="13" t="s">
        <v>110</v>
      </c>
      <c r="H194" s="41" t="s">
        <v>139</v>
      </c>
      <c r="I194" s="41" t="s">
        <v>139</v>
      </c>
      <c r="J194" s="39"/>
      <c r="L194" s="2"/>
    </row>
    <row r="195" spans="1:12" ht="18.75" x14ac:dyDescent="0.3">
      <c r="A195" s="65" t="s">
        <v>98</v>
      </c>
      <c r="B195" s="66"/>
      <c r="C195" s="66"/>
      <c r="D195" s="66"/>
      <c r="E195" s="66"/>
      <c r="F195" s="66"/>
      <c r="G195" s="67"/>
      <c r="H195" s="65"/>
      <c r="I195" s="66"/>
      <c r="J195" s="66"/>
      <c r="L195" s="2"/>
    </row>
    <row r="196" spans="1:12" ht="32.25" x14ac:dyDescent="0.3">
      <c r="A196" s="34" t="s">
        <v>144</v>
      </c>
      <c r="B196" s="24"/>
      <c r="C196" s="24"/>
      <c r="D196" s="40" t="s">
        <v>133</v>
      </c>
      <c r="E196" s="13"/>
      <c r="F196" s="13">
        <f>1</f>
        <v>1</v>
      </c>
      <c r="G196" s="13" t="s">
        <v>134</v>
      </c>
      <c r="H196" s="13">
        <v>800</v>
      </c>
      <c r="I196" s="57">
        <f t="shared" ref="I196:I199" si="14">F196*H196</f>
        <v>800</v>
      </c>
      <c r="J196" s="13" t="s">
        <v>122</v>
      </c>
      <c r="L196" s="2"/>
    </row>
    <row r="197" spans="1:12" ht="48" x14ac:dyDescent="0.3">
      <c r="A197" s="24"/>
      <c r="B197" s="24"/>
      <c r="C197" s="24"/>
      <c r="D197" s="40" t="s">
        <v>135</v>
      </c>
      <c r="E197" s="41"/>
      <c r="F197" s="41"/>
      <c r="G197" s="13" t="s">
        <v>136</v>
      </c>
      <c r="H197" s="41"/>
      <c r="I197" s="45"/>
      <c r="J197" s="13"/>
      <c r="L197" s="2"/>
    </row>
    <row r="198" spans="1:12" ht="32.25" x14ac:dyDescent="0.3">
      <c r="A198" s="24"/>
      <c r="B198" s="24"/>
      <c r="C198" s="24"/>
      <c r="D198" s="40" t="s">
        <v>208</v>
      </c>
      <c r="E198" s="13"/>
      <c r="F198" s="13">
        <f>40+90</f>
        <v>130</v>
      </c>
      <c r="G198" s="13" t="s">
        <v>137</v>
      </c>
      <c r="H198" s="33">
        <f>(2000+4125)/F198</f>
        <v>47.115384615384613</v>
      </c>
      <c r="I198" s="57">
        <f t="shared" si="14"/>
        <v>6125</v>
      </c>
      <c r="J198" s="13" t="s">
        <v>122</v>
      </c>
      <c r="L198" s="2"/>
    </row>
    <row r="199" spans="1:12" ht="32.25" x14ac:dyDescent="0.3">
      <c r="A199" s="24"/>
      <c r="B199" s="24"/>
      <c r="C199" s="24"/>
      <c r="D199" s="40" t="s">
        <v>209</v>
      </c>
      <c r="E199" s="13"/>
      <c r="F199" s="13">
        <f>30+185</f>
        <v>215</v>
      </c>
      <c r="G199" s="13" t="s">
        <v>137</v>
      </c>
      <c r="H199" s="33">
        <f>(1250+8479)/F199</f>
        <v>45.251162790697677</v>
      </c>
      <c r="I199" s="57">
        <f t="shared" si="14"/>
        <v>9729</v>
      </c>
      <c r="J199" s="13" t="s">
        <v>122</v>
      </c>
      <c r="L199" s="2"/>
    </row>
    <row r="200" spans="1:12" ht="63" x14ac:dyDescent="0.3">
      <c r="A200" s="24"/>
      <c r="B200" s="24"/>
      <c r="C200" s="24"/>
      <c r="D200" s="40" t="s">
        <v>191</v>
      </c>
      <c r="E200" s="13"/>
      <c r="F200" s="13">
        <f>75</f>
        <v>75</v>
      </c>
      <c r="G200" s="38" t="s">
        <v>190</v>
      </c>
      <c r="H200" s="33">
        <f>43184.4/F200</f>
        <v>575.79200000000003</v>
      </c>
      <c r="I200" s="58">
        <f>F200*H200</f>
        <v>43184.4</v>
      </c>
      <c r="J200" s="13" t="s">
        <v>121</v>
      </c>
      <c r="L200" s="2"/>
    </row>
    <row r="201" spans="1:12" ht="18.75" x14ac:dyDescent="0.3">
      <c r="A201" s="24"/>
      <c r="B201" s="24"/>
      <c r="C201" s="24"/>
      <c r="D201" s="40" t="s">
        <v>197</v>
      </c>
      <c r="E201" s="13"/>
      <c r="F201" s="13"/>
      <c r="G201" s="13" t="s">
        <v>198</v>
      </c>
      <c r="H201" s="13"/>
      <c r="I201" s="13"/>
      <c r="J201" s="13"/>
      <c r="L201" s="2"/>
    </row>
    <row r="202" spans="1:12" ht="63" x14ac:dyDescent="0.3">
      <c r="A202" s="24"/>
      <c r="B202" s="24"/>
      <c r="C202" s="24"/>
      <c r="D202" s="40" t="s">
        <v>216</v>
      </c>
      <c r="E202" s="13"/>
      <c r="F202" s="13">
        <f>150</f>
        <v>150</v>
      </c>
      <c r="G202" s="38" t="s">
        <v>190</v>
      </c>
      <c r="H202" s="33">
        <f>22796.6/F202</f>
        <v>151.97733333333332</v>
      </c>
      <c r="I202" s="58">
        <f t="shared" ref="I201:I210" si="15">F202*H202</f>
        <v>22796.6</v>
      </c>
      <c r="J202" s="13" t="s">
        <v>121</v>
      </c>
      <c r="L202" s="2"/>
    </row>
    <row r="203" spans="1:12" ht="18.75" x14ac:dyDescent="0.3">
      <c r="A203" s="24"/>
      <c r="B203" s="24"/>
      <c r="C203" s="24"/>
      <c r="D203" s="40" t="s">
        <v>278</v>
      </c>
      <c r="E203" s="13"/>
      <c r="F203" s="13">
        <v>3</v>
      </c>
      <c r="G203" s="38" t="s">
        <v>30</v>
      </c>
      <c r="H203" s="13">
        <f>4068/F203</f>
        <v>1356</v>
      </c>
      <c r="I203" s="58">
        <f>F203*H203</f>
        <v>4068</v>
      </c>
      <c r="J203" s="13" t="s">
        <v>118</v>
      </c>
      <c r="L203" s="2"/>
    </row>
    <row r="204" spans="1:12" ht="18.75" x14ac:dyDescent="0.3">
      <c r="A204" s="24"/>
      <c r="B204" s="24"/>
      <c r="C204" s="24"/>
      <c r="D204" s="40" t="s">
        <v>279</v>
      </c>
      <c r="E204" s="13"/>
      <c r="F204" s="13">
        <v>2</v>
      </c>
      <c r="G204" s="38" t="s">
        <v>30</v>
      </c>
      <c r="H204" s="13">
        <f>25106/F204</f>
        <v>12553</v>
      </c>
      <c r="I204" s="58">
        <f>F204*H204</f>
        <v>25106</v>
      </c>
      <c r="J204" s="13" t="s">
        <v>118</v>
      </c>
      <c r="L204" s="2"/>
    </row>
    <row r="205" spans="1:12" ht="18.75" x14ac:dyDescent="0.3">
      <c r="A205" s="24"/>
      <c r="B205" s="24"/>
      <c r="C205" s="24"/>
      <c r="D205" s="40" t="s">
        <v>204</v>
      </c>
      <c r="E205" s="13"/>
      <c r="F205" s="13"/>
      <c r="G205" s="38" t="s">
        <v>30</v>
      </c>
      <c r="H205" s="13"/>
      <c r="I205" s="13"/>
      <c r="J205" s="13"/>
      <c r="L205" s="2"/>
    </row>
    <row r="206" spans="1:12" ht="18.75" x14ac:dyDescent="0.3">
      <c r="A206" s="24"/>
      <c r="B206" s="24"/>
      <c r="C206" s="24"/>
      <c r="D206" s="40" t="s">
        <v>199</v>
      </c>
      <c r="E206" s="13"/>
      <c r="F206" s="13"/>
      <c r="G206" s="38" t="s">
        <v>113</v>
      </c>
      <c r="H206" s="13"/>
      <c r="I206" s="13"/>
      <c r="J206" s="13"/>
      <c r="L206" s="2"/>
    </row>
    <row r="207" spans="1:12" ht="18.75" x14ac:dyDescent="0.3">
      <c r="A207" s="24"/>
      <c r="B207" s="24"/>
      <c r="C207" s="24"/>
      <c r="D207" s="40" t="s">
        <v>233</v>
      </c>
      <c r="E207" s="13"/>
      <c r="F207" s="13">
        <v>1</v>
      </c>
      <c r="G207" s="38" t="s">
        <v>142</v>
      </c>
      <c r="H207" s="13">
        <f>14000/F207</f>
        <v>14000</v>
      </c>
      <c r="I207" s="58">
        <f>F207*H207</f>
        <v>14000</v>
      </c>
      <c r="J207" s="13" t="s">
        <v>121</v>
      </c>
      <c r="L207" s="2"/>
    </row>
    <row r="208" spans="1:12" ht="18.75" x14ac:dyDescent="0.3">
      <c r="A208" s="24"/>
      <c r="B208" s="24"/>
      <c r="C208" s="24"/>
      <c r="D208" s="40" t="s">
        <v>233</v>
      </c>
      <c r="E208" s="13"/>
      <c r="F208" s="13">
        <v>1</v>
      </c>
      <c r="G208" s="38" t="s">
        <v>142</v>
      </c>
      <c r="H208" s="13">
        <v>6000</v>
      </c>
      <c r="I208" s="58">
        <f>F208*H208</f>
        <v>6000</v>
      </c>
      <c r="J208" s="13" t="s">
        <v>121</v>
      </c>
      <c r="L208" s="2"/>
    </row>
    <row r="209" spans="1:12" ht="18.75" x14ac:dyDescent="0.3">
      <c r="A209" s="34" t="s">
        <v>155</v>
      </c>
      <c r="B209" s="14"/>
      <c r="C209" s="14"/>
      <c r="D209" s="40" t="s">
        <v>217</v>
      </c>
      <c r="E209" s="13"/>
      <c r="F209" s="13">
        <f>2</f>
        <v>2</v>
      </c>
      <c r="G209" s="13" t="s">
        <v>30</v>
      </c>
      <c r="H209" s="13">
        <f>10217/F209</f>
        <v>5108.5</v>
      </c>
      <c r="I209" s="58">
        <f t="shared" si="15"/>
        <v>10217</v>
      </c>
      <c r="J209" s="14" t="s">
        <v>121</v>
      </c>
      <c r="L209" s="2"/>
    </row>
    <row r="210" spans="1:12" ht="18.75" x14ac:dyDescent="0.3">
      <c r="A210" s="34"/>
      <c r="B210" s="14"/>
      <c r="C210" s="14"/>
      <c r="D210" s="40" t="s">
        <v>235</v>
      </c>
      <c r="E210" s="13"/>
      <c r="F210" s="13">
        <f>1</f>
        <v>1</v>
      </c>
      <c r="G210" s="13" t="s">
        <v>30</v>
      </c>
      <c r="H210" s="13">
        <f>6200/1</f>
        <v>6200</v>
      </c>
      <c r="I210" s="58">
        <f t="shared" si="15"/>
        <v>6200</v>
      </c>
      <c r="J210" s="14" t="s">
        <v>118</v>
      </c>
      <c r="L210" s="2"/>
    </row>
    <row r="211" spans="1:12" ht="63.75" x14ac:dyDescent="0.3">
      <c r="A211" s="34"/>
      <c r="B211" s="14"/>
      <c r="C211" s="14"/>
      <c r="D211" s="40" t="s">
        <v>236</v>
      </c>
      <c r="E211" s="13"/>
      <c r="F211" s="13">
        <v>1</v>
      </c>
      <c r="G211" s="13" t="s">
        <v>142</v>
      </c>
      <c r="H211" s="13">
        <v>15243</v>
      </c>
      <c r="I211" s="58">
        <f>F211*H211</f>
        <v>15243</v>
      </c>
      <c r="J211" s="14" t="s">
        <v>118</v>
      </c>
      <c r="L211" s="2"/>
    </row>
    <row r="212" spans="1:12" ht="32.25" x14ac:dyDescent="0.3">
      <c r="A212" s="34"/>
      <c r="B212" s="14"/>
      <c r="C212" s="14"/>
      <c r="D212" s="40" t="s">
        <v>237</v>
      </c>
      <c r="E212" s="13"/>
      <c r="F212" s="13">
        <v>1</v>
      </c>
      <c r="G212" s="13" t="s">
        <v>142</v>
      </c>
      <c r="H212" s="13">
        <v>41372</v>
      </c>
      <c r="I212" s="58">
        <f>F212*H212</f>
        <v>41372</v>
      </c>
      <c r="J212" s="14" t="s">
        <v>118</v>
      </c>
      <c r="L212" s="2"/>
    </row>
    <row r="213" spans="1:12" ht="48" x14ac:dyDescent="0.3">
      <c r="A213" s="34"/>
      <c r="B213" s="14"/>
      <c r="C213" s="14"/>
      <c r="D213" s="40" t="s">
        <v>270</v>
      </c>
      <c r="E213" s="13"/>
      <c r="F213" s="13">
        <f>6983</f>
        <v>6983</v>
      </c>
      <c r="G213" s="13" t="s">
        <v>231</v>
      </c>
      <c r="H213" s="33">
        <f>18519.6/F213</f>
        <v>2.6520979521695542</v>
      </c>
      <c r="I213" s="58">
        <f>F213*H213</f>
        <v>18519.599999999999</v>
      </c>
      <c r="J213" s="14" t="s">
        <v>118</v>
      </c>
      <c r="L213" s="2"/>
    </row>
    <row r="214" spans="1:12" ht="18.75" x14ac:dyDescent="0.3">
      <c r="A214" s="34"/>
      <c r="B214" s="14"/>
      <c r="C214" s="14"/>
      <c r="D214" s="40"/>
      <c r="E214" s="13"/>
      <c r="F214" s="13"/>
      <c r="G214" s="13"/>
      <c r="H214" s="33"/>
      <c r="I214" s="33">
        <f>SUM(I196:I213)</f>
        <v>223360.6</v>
      </c>
      <c r="J214" s="14"/>
      <c r="K214" s="60"/>
      <c r="L214" s="2"/>
    </row>
    <row r="215" spans="1:12" ht="15.75" x14ac:dyDescent="0.25">
      <c r="A215" s="78" t="s">
        <v>281</v>
      </c>
      <c r="B215" s="14"/>
      <c r="C215" s="14"/>
      <c r="D215" s="43"/>
      <c r="E215" s="14"/>
      <c r="F215" s="14"/>
      <c r="G215" s="38"/>
      <c r="H215" s="14"/>
      <c r="I215" s="76">
        <f>I17+I20+I23+I24+I27+I30+I36+I39+I45+I46+I47+I48+I49+I50+I51+I52+I53+I54+I55+I56+I57+I58+I59+I61+I62+I63+I64+I65+I66+I67+I68+I70+I71+I72+I73+I74+I76+I77+I78+I79+I80+I81+I82+I85+I87+I88+I89+I90+I91+I92+I95+I96+I100+I110+I111+I112+I113+I115+I118+I119+I120+I121+I126+I132+I133+I134+I136+I139+I147+I148+I153+I154+I167+I168+I171+I174+I175+I189+I196+I198+I199+I200+I202+I203+I204+I207+I208+I209+I210+I211+I212+I213</f>
        <v>2305957.7999999998</v>
      </c>
      <c r="J215" s="14"/>
      <c r="L215" s="2"/>
    </row>
    <row r="216" spans="1:12" ht="15.75" x14ac:dyDescent="0.25">
      <c r="A216" s="75" t="s">
        <v>206</v>
      </c>
      <c r="B216" s="25"/>
      <c r="C216" s="25"/>
      <c r="D216" s="43"/>
      <c r="E216" s="13"/>
      <c r="F216" s="13"/>
      <c r="G216" s="38"/>
      <c r="H216" s="13"/>
      <c r="I216" s="77">
        <f>I42+I97+I127+I150+I162+I180+I184+I191+I214</f>
        <v>2974941.6133333337</v>
      </c>
      <c r="J216" s="14"/>
      <c r="K216" s="2"/>
      <c r="L216" s="2"/>
    </row>
    <row r="217" spans="1:12" ht="99.75" customHeight="1" x14ac:dyDescent="0.25">
      <c r="A217" s="62" t="s">
        <v>105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59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  <row r="233" spans="1:12" ht="15.75" x14ac:dyDescent="0.25">
      <c r="A233" s="2"/>
      <c r="B233" s="2"/>
      <c r="C233" s="2"/>
      <c r="D233" s="16"/>
      <c r="E233" s="16"/>
      <c r="F233" s="2"/>
      <c r="G233" s="2"/>
      <c r="H233" s="2"/>
      <c r="I233" s="2"/>
      <c r="J233" s="2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  <row r="235" spans="1:12" ht="15.75" x14ac:dyDescent="0.25">
      <c r="A235" s="2"/>
      <c r="B235" s="2"/>
      <c r="C235" s="2"/>
      <c r="D235" s="16"/>
      <c r="E235" s="16"/>
      <c r="F235" s="2"/>
      <c r="G235" s="2"/>
      <c r="H235" s="2"/>
      <c r="I235" s="2"/>
      <c r="J235" s="2"/>
      <c r="K235" s="2"/>
      <c r="L235" s="2"/>
    </row>
    <row r="236" spans="1:12" ht="15.75" x14ac:dyDescent="0.25">
      <c r="A236" s="2"/>
      <c r="B236" s="2"/>
      <c r="C236" s="2"/>
      <c r="D236" s="16"/>
      <c r="E236" s="16"/>
      <c r="F236" s="2"/>
      <c r="G236" s="2"/>
      <c r="H236" s="2"/>
      <c r="I236" s="2"/>
      <c r="J236" s="2"/>
      <c r="K236" s="2"/>
      <c r="L236" s="2"/>
    </row>
    <row r="237" spans="1:12" ht="15.75" x14ac:dyDescent="0.25">
      <c r="A237" s="2"/>
      <c r="B237" s="2"/>
      <c r="C237" s="2"/>
      <c r="D237" s="16"/>
      <c r="E237" s="16"/>
      <c r="F237" s="2"/>
      <c r="G237" s="2"/>
      <c r="H237" s="2"/>
      <c r="I237" s="2"/>
      <c r="J237" s="2"/>
      <c r="K237" s="2"/>
      <c r="L237" s="2"/>
    </row>
    <row r="238" spans="1:12" ht="15.75" x14ac:dyDescent="0.25">
      <c r="A238" s="2"/>
      <c r="B238" s="2"/>
      <c r="C238" s="2"/>
      <c r="D238" s="16"/>
      <c r="E238" s="16"/>
      <c r="F238" s="2"/>
      <c r="G238" s="2"/>
      <c r="H238" s="2"/>
      <c r="I238" s="2"/>
      <c r="J238" s="2"/>
      <c r="K238" s="2"/>
      <c r="L238" s="2"/>
    </row>
    <row r="239" spans="1:12" ht="15.75" x14ac:dyDescent="0.25">
      <c r="A239" s="2"/>
      <c r="B239" s="2"/>
      <c r="C239" s="2"/>
      <c r="D239" s="16"/>
      <c r="E239" s="16"/>
      <c r="F239" s="2"/>
      <c r="G239" s="2"/>
      <c r="H239" s="2"/>
      <c r="I239" s="2"/>
      <c r="J239" s="2"/>
      <c r="K239" s="2"/>
      <c r="L239" s="2"/>
    </row>
    <row r="240" spans="1:12" ht="15.75" x14ac:dyDescent="0.25">
      <c r="A240" s="2"/>
      <c r="B240" s="2"/>
      <c r="C240" s="2"/>
      <c r="D240" s="16"/>
      <c r="E240" s="16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16"/>
      <c r="E241" s="16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16"/>
      <c r="E242" s="16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16"/>
      <c r="E243" s="16"/>
      <c r="F243" s="2"/>
      <c r="G243" s="2"/>
      <c r="H243" s="2"/>
      <c r="I243" s="2"/>
      <c r="J243" s="2"/>
      <c r="K243" s="2"/>
      <c r="L243" s="2"/>
    </row>
  </sheetData>
  <mergeCells count="16">
    <mergeCell ref="A217:J217"/>
    <mergeCell ref="A2:J2"/>
    <mergeCell ref="A195:G195"/>
    <mergeCell ref="H195:J195"/>
    <mergeCell ref="I1:J1"/>
    <mergeCell ref="A142:G142"/>
    <mergeCell ref="A163:G163"/>
    <mergeCell ref="A192:G192"/>
    <mergeCell ref="A43:G43"/>
    <mergeCell ref="A16:G16"/>
    <mergeCell ref="A4:G4"/>
    <mergeCell ref="A181:G181"/>
    <mergeCell ref="A98:G98"/>
    <mergeCell ref="A128:G128"/>
    <mergeCell ref="A151:G151"/>
    <mergeCell ref="A185:G18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2024-03-08T07:04:34Z</dcterms:modified>
</cp:coreProperties>
</file>